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ausa\Downloads\"/>
    </mc:Choice>
  </mc:AlternateContent>
  <xr:revisionPtr revIDLastSave="0" documentId="13_ncr:1_{BA1B9285-EFC1-4BE2-A604-DD16F139705C}" xr6:coauthVersionLast="47" xr6:coauthVersionMax="47" xr10:uidLastSave="{00000000-0000-0000-0000-000000000000}"/>
  <bookViews>
    <workbookView xWindow="-110" yWindow="-110" windowWidth="19420" windowHeight="11500" tabRatio="660" xr2:uid="{00000000-000D-0000-FFFF-FFFF00000000}"/>
  </bookViews>
  <sheets>
    <sheet name="Inicio" sheetId="1" r:id="rId1"/>
    <sheet name="Configuración" sheetId="2" r:id="rId2"/>
    <sheet name="Mi agenda" sheetId="3" r:id="rId3"/>
    <sheet name="Calendario" sheetId="4" r:id="rId4"/>
    <sheet name="Agenda 2026" sheetId="5" state="hidden" r:id="rId5"/>
    <sheet name="Resumen mensual" sheetId="6" r:id="rId6"/>
    <sheet name="Fuentes y alcance" sheetId="7" state="hidden" r:id="rId7"/>
  </sheets>
  <definedNames>
    <definedName name="_xlnm._FilterDatabase" localSheetId="2" hidden="1">'Mi agenda'!$A$6:$M$381</definedName>
    <definedName name="_xlnm.Print_Area" localSheetId="3">Calendario!$A$1:$I$116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376" i="5" l="1"/>
  <c r="O376" i="5"/>
  <c r="P376" i="5" s="1"/>
  <c r="Q375" i="5"/>
  <c r="O375" i="5"/>
  <c r="P375" i="5" s="1"/>
  <c r="Q374" i="5"/>
  <c r="O374" i="5"/>
  <c r="P374" i="5" s="1"/>
  <c r="Q373" i="5"/>
  <c r="O373" i="5"/>
  <c r="P373" i="5" s="1"/>
  <c r="Q372" i="5"/>
  <c r="O372" i="5"/>
  <c r="P372" i="5" s="1"/>
  <c r="Q371" i="5"/>
  <c r="O371" i="5"/>
  <c r="P371" i="5" s="1"/>
  <c r="Q370" i="5"/>
  <c r="O370" i="5"/>
  <c r="P370" i="5" s="1"/>
  <c r="Q369" i="5"/>
  <c r="O369" i="5"/>
  <c r="P369" i="5" s="1"/>
  <c r="Q368" i="5"/>
  <c r="O368" i="5"/>
  <c r="P368" i="5" s="1"/>
  <c r="Q367" i="5"/>
  <c r="O367" i="5"/>
  <c r="P367" i="5" s="1"/>
  <c r="Q366" i="5"/>
  <c r="O366" i="5"/>
  <c r="P366" i="5" s="1"/>
  <c r="Q365" i="5"/>
  <c r="O365" i="5"/>
  <c r="P365" i="5" s="1"/>
  <c r="Q364" i="5"/>
  <c r="O364" i="5"/>
  <c r="P364" i="5" s="1"/>
  <c r="Q363" i="5"/>
  <c r="O363" i="5"/>
  <c r="P363" i="5" s="1"/>
  <c r="Q362" i="5"/>
  <c r="O362" i="5"/>
  <c r="P362" i="5" s="1"/>
  <c r="Q361" i="5"/>
  <c r="O361" i="5"/>
  <c r="P361" i="5" s="1"/>
  <c r="Q360" i="5"/>
  <c r="O360" i="5"/>
  <c r="P360" i="5" s="1"/>
  <c r="Q359" i="5"/>
  <c r="O359" i="5"/>
  <c r="P359" i="5" s="1"/>
  <c r="Q358" i="5"/>
  <c r="O358" i="5"/>
  <c r="P358" i="5" s="1"/>
  <c r="Q357" i="5"/>
  <c r="O357" i="5"/>
  <c r="P357" i="5" s="1"/>
  <c r="Q356" i="5"/>
  <c r="O356" i="5"/>
  <c r="P356" i="5" s="1"/>
  <c r="Q355" i="5"/>
  <c r="O355" i="5"/>
  <c r="P355" i="5" s="1"/>
  <c r="Q354" i="5"/>
  <c r="O354" i="5"/>
  <c r="P354" i="5" s="1"/>
  <c r="Q353" i="5"/>
  <c r="O353" i="5"/>
  <c r="P353" i="5" s="1"/>
  <c r="Q352" i="5"/>
  <c r="O352" i="5"/>
  <c r="P352" i="5" s="1"/>
  <c r="Q351" i="5"/>
  <c r="O351" i="5"/>
  <c r="P351" i="5" s="1"/>
  <c r="Q350" i="5"/>
  <c r="O350" i="5"/>
  <c r="P350" i="5" s="1"/>
  <c r="Q349" i="5"/>
  <c r="O349" i="5"/>
  <c r="P349" i="5" s="1"/>
  <c r="Q348" i="5"/>
  <c r="O348" i="5"/>
  <c r="P348" i="5" s="1"/>
  <c r="Q347" i="5"/>
  <c r="O347" i="5"/>
  <c r="P347" i="5" s="1"/>
  <c r="Q346" i="5"/>
  <c r="O346" i="5"/>
  <c r="P346" i="5" s="1"/>
  <c r="Q345" i="5"/>
  <c r="O345" i="5"/>
  <c r="P345" i="5" s="1"/>
  <c r="Q344" i="5"/>
  <c r="O344" i="5"/>
  <c r="P344" i="5" s="1"/>
  <c r="Q343" i="5"/>
  <c r="O343" i="5"/>
  <c r="P343" i="5" s="1"/>
  <c r="Q342" i="5"/>
  <c r="O342" i="5"/>
  <c r="P342" i="5" s="1"/>
  <c r="Q341" i="5"/>
  <c r="O341" i="5"/>
  <c r="P341" i="5" s="1"/>
  <c r="Q340" i="5"/>
  <c r="O340" i="5"/>
  <c r="P340" i="5" s="1"/>
  <c r="Q339" i="5"/>
  <c r="O339" i="5"/>
  <c r="P339" i="5" s="1"/>
  <c r="Q338" i="5"/>
  <c r="O338" i="5"/>
  <c r="P338" i="5" s="1"/>
  <c r="Q337" i="5"/>
  <c r="O337" i="5"/>
  <c r="P337" i="5" s="1"/>
  <c r="Q336" i="5"/>
  <c r="O336" i="5"/>
  <c r="P336" i="5" s="1"/>
  <c r="Q335" i="5"/>
  <c r="O335" i="5"/>
  <c r="P335" i="5" s="1"/>
  <c r="Q334" i="5"/>
  <c r="O334" i="5"/>
  <c r="P334" i="5" s="1"/>
  <c r="Q333" i="5"/>
  <c r="O333" i="5"/>
  <c r="P333" i="5" s="1"/>
  <c r="Q332" i="5"/>
  <c r="O332" i="5"/>
  <c r="P332" i="5" s="1"/>
  <c r="Q331" i="5"/>
  <c r="O331" i="5"/>
  <c r="P331" i="5" s="1"/>
  <c r="Q330" i="5"/>
  <c r="O330" i="5"/>
  <c r="P330" i="5" s="1"/>
  <c r="Q329" i="5"/>
  <c r="O329" i="5"/>
  <c r="P329" i="5" s="1"/>
  <c r="Q328" i="5"/>
  <c r="O328" i="5"/>
  <c r="P328" i="5" s="1"/>
  <c r="Q327" i="5"/>
  <c r="O327" i="5"/>
  <c r="P327" i="5" s="1"/>
  <c r="Q326" i="5"/>
  <c r="O326" i="5"/>
  <c r="P326" i="5" s="1"/>
  <c r="Q325" i="5"/>
  <c r="O325" i="5"/>
  <c r="P325" i="5" s="1"/>
  <c r="Q324" i="5"/>
  <c r="O324" i="5"/>
  <c r="P324" i="5" s="1"/>
  <c r="Q323" i="5"/>
  <c r="O323" i="5"/>
  <c r="P323" i="5" s="1"/>
  <c r="Q322" i="5"/>
  <c r="O322" i="5"/>
  <c r="P322" i="5" s="1"/>
  <c r="Q321" i="5"/>
  <c r="O321" i="5"/>
  <c r="P321" i="5" s="1"/>
  <c r="Q320" i="5"/>
  <c r="O320" i="5"/>
  <c r="P320" i="5" s="1"/>
  <c r="Q319" i="5"/>
  <c r="O319" i="5"/>
  <c r="P319" i="5" s="1"/>
  <c r="Q318" i="5"/>
  <c r="O318" i="5"/>
  <c r="P318" i="5" s="1"/>
  <c r="Q317" i="5"/>
  <c r="O317" i="5"/>
  <c r="P317" i="5" s="1"/>
  <c r="Q316" i="5"/>
  <c r="O316" i="5"/>
  <c r="P316" i="5" s="1"/>
  <c r="Q315" i="5"/>
  <c r="O315" i="5"/>
  <c r="P315" i="5" s="1"/>
  <c r="Q314" i="5"/>
  <c r="O314" i="5"/>
  <c r="P314" i="5" s="1"/>
  <c r="Q313" i="5"/>
  <c r="O313" i="5"/>
  <c r="P313" i="5" s="1"/>
  <c r="Q312" i="5"/>
  <c r="O312" i="5"/>
  <c r="P312" i="5" s="1"/>
  <c r="Q311" i="5"/>
  <c r="O311" i="5"/>
  <c r="P311" i="5" s="1"/>
  <c r="Q310" i="5"/>
  <c r="O310" i="5"/>
  <c r="P310" i="5" s="1"/>
  <c r="Q309" i="5"/>
  <c r="O309" i="5"/>
  <c r="P309" i="5" s="1"/>
  <c r="Q308" i="5"/>
  <c r="O308" i="5"/>
  <c r="P308" i="5" s="1"/>
  <c r="Q307" i="5"/>
  <c r="O307" i="5"/>
  <c r="P307" i="5" s="1"/>
  <c r="Q306" i="5"/>
  <c r="O306" i="5"/>
  <c r="P306" i="5" s="1"/>
  <c r="Q305" i="5"/>
  <c r="O305" i="5"/>
  <c r="P305" i="5" s="1"/>
  <c r="Q304" i="5"/>
  <c r="O304" i="5"/>
  <c r="P304" i="5" s="1"/>
  <c r="Q303" i="5"/>
  <c r="O303" i="5"/>
  <c r="P303" i="5" s="1"/>
  <c r="Q302" i="5"/>
  <c r="O302" i="5"/>
  <c r="P302" i="5" s="1"/>
  <c r="Q301" i="5"/>
  <c r="O301" i="5"/>
  <c r="P301" i="5" s="1"/>
  <c r="Q300" i="5"/>
  <c r="O300" i="5"/>
  <c r="P300" i="5" s="1"/>
  <c r="Q299" i="5"/>
  <c r="O299" i="5"/>
  <c r="P299" i="5" s="1"/>
  <c r="Q298" i="5"/>
  <c r="O298" i="5"/>
  <c r="P298" i="5" s="1"/>
  <c r="Q297" i="5"/>
  <c r="O297" i="5"/>
  <c r="P297" i="5" s="1"/>
  <c r="Q296" i="5"/>
  <c r="O296" i="5"/>
  <c r="P296" i="5" s="1"/>
  <c r="Q295" i="5"/>
  <c r="O295" i="5"/>
  <c r="P295" i="5" s="1"/>
  <c r="Q294" i="5"/>
  <c r="O294" i="5"/>
  <c r="P294" i="5" s="1"/>
  <c r="Q293" i="5"/>
  <c r="O293" i="5"/>
  <c r="P293" i="5" s="1"/>
  <c r="Q292" i="5"/>
  <c r="O292" i="5"/>
  <c r="P292" i="5" s="1"/>
  <c r="Q291" i="5"/>
  <c r="O291" i="5"/>
  <c r="P291" i="5" s="1"/>
  <c r="Q290" i="5"/>
  <c r="O290" i="5"/>
  <c r="P290" i="5" s="1"/>
  <c r="Q289" i="5"/>
  <c r="O289" i="5"/>
  <c r="P289" i="5" s="1"/>
  <c r="Q288" i="5"/>
  <c r="O288" i="5"/>
  <c r="P288" i="5" s="1"/>
  <c r="Q287" i="5"/>
  <c r="O287" i="5"/>
  <c r="P287" i="5" s="1"/>
  <c r="Q286" i="5"/>
  <c r="O286" i="5"/>
  <c r="P286" i="5" s="1"/>
  <c r="Q285" i="5"/>
  <c r="O285" i="5"/>
  <c r="P285" i="5" s="1"/>
  <c r="Q284" i="5"/>
  <c r="O284" i="5"/>
  <c r="P284" i="5" s="1"/>
  <c r="Q283" i="5"/>
  <c r="O283" i="5"/>
  <c r="P283" i="5" s="1"/>
  <c r="Q282" i="5"/>
  <c r="O282" i="5"/>
  <c r="P282" i="5" s="1"/>
  <c r="Q281" i="5"/>
  <c r="O281" i="5"/>
  <c r="P281" i="5" s="1"/>
  <c r="Q280" i="5"/>
  <c r="O280" i="5"/>
  <c r="P280" i="5" s="1"/>
  <c r="Q279" i="5"/>
  <c r="O279" i="5"/>
  <c r="P279" i="5" s="1"/>
  <c r="Q278" i="5"/>
  <c r="O278" i="5"/>
  <c r="P278" i="5" s="1"/>
  <c r="Q277" i="5"/>
  <c r="O277" i="5"/>
  <c r="P277" i="5" s="1"/>
  <c r="Q276" i="5"/>
  <c r="O276" i="5"/>
  <c r="P276" i="5" s="1"/>
  <c r="Q275" i="5"/>
  <c r="O275" i="5"/>
  <c r="P275" i="5" s="1"/>
  <c r="Q274" i="5"/>
  <c r="O274" i="5"/>
  <c r="P274" i="5" s="1"/>
  <c r="Q273" i="5"/>
  <c r="O273" i="5"/>
  <c r="P273" i="5" s="1"/>
  <c r="Q272" i="5"/>
  <c r="O272" i="5"/>
  <c r="P272" i="5" s="1"/>
  <c r="Q271" i="5"/>
  <c r="O271" i="5"/>
  <c r="P271" i="5" s="1"/>
  <c r="Q270" i="5"/>
  <c r="O270" i="5"/>
  <c r="P270" i="5" s="1"/>
  <c r="Q269" i="5"/>
  <c r="O269" i="5"/>
  <c r="P269" i="5" s="1"/>
  <c r="Q268" i="5"/>
  <c r="O268" i="5"/>
  <c r="P268" i="5" s="1"/>
  <c r="Q267" i="5"/>
  <c r="O267" i="5"/>
  <c r="P267" i="5" s="1"/>
  <c r="Q266" i="5"/>
  <c r="O266" i="5"/>
  <c r="P266" i="5" s="1"/>
  <c r="Q265" i="5"/>
  <c r="O265" i="5"/>
  <c r="P265" i="5" s="1"/>
  <c r="Q264" i="5"/>
  <c r="O264" i="5"/>
  <c r="P264" i="5" s="1"/>
  <c r="Q263" i="5"/>
  <c r="O263" i="5"/>
  <c r="P263" i="5" s="1"/>
  <c r="Q262" i="5"/>
  <c r="O262" i="5"/>
  <c r="P262" i="5" s="1"/>
  <c r="Q261" i="5"/>
  <c r="O261" i="5"/>
  <c r="P261" i="5" s="1"/>
  <c r="Q260" i="5"/>
  <c r="O260" i="5"/>
  <c r="P260" i="5" s="1"/>
  <c r="Q259" i="5"/>
  <c r="O259" i="5"/>
  <c r="P259" i="5" s="1"/>
  <c r="Q258" i="5"/>
  <c r="O258" i="5"/>
  <c r="P258" i="5" s="1"/>
  <c r="Q257" i="5"/>
  <c r="O257" i="5"/>
  <c r="P257" i="5" s="1"/>
  <c r="Q256" i="5"/>
  <c r="O256" i="5"/>
  <c r="P256" i="5" s="1"/>
  <c r="Q255" i="5"/>
  <c r="O255" i="5"/>
  <c r="P255" i="5" s="1"/>
  <c r="Q254" i="5"/>
  <c r="O254" i="5"/>
  <c r="P254" i="5" s="1"/>
  <c r="Q253" i="5"/>
  <c r="O253" i="5"/>
  <c r="P253" i="5" s="1"/>
  <c r="Q252" i="5"/>
  <c r="O252" i="5"/>
  <c r="P252" i="5" s="1"/>
  <c r="Q251" i="5"/>
  <c r="O251" i="5"/>
  <c r="P251" i="5" s="1"/>
  <c r="Q250" i="5"/>
  <c r="O250" i="5"/>
  <c r="P250" i="5" s="1"/>
  <c r="Q249" i="5"/>
  <c r="O249" i="5"/>
  <c r="P249" i="5" s="1"/>
  <c r="Q248" i="5"/>
  <c r="O248" i="5"/>
  <c r="P248" i="5" s="1"/>
  <c r="Q247" i="5"/>
  <c r="O247" i="5"/>
  <c r="P247" i="5" s="1"/>
  <c r="Q246" i="5"/>
  <c r="O246" i="5"/>
  <c r="P246" i="5" s="1"/>
  <c r="Q245" i="5"/>
  <c r="O245" i="5"/>
  <c r="P245" i="5" s="1"/>
  <c r="Q244" i="5"/>
  <c r="O244" i="5"/>
  <c r="P244" i="5" s="1"/>
  <c r="Q243" i="5"/>
  <c r="O243" i="5"/>
  <c r="P243" i="5" s="1"/>
  <c r="Q242" i="5"/>
  <c r="O242" i="5"/>
  <c r="P242" i="5" s="1"/>
  <c r="Q241" i="5"/>
  <c r="O241" i="5"/>
  <c r="P241" i="5" s="1"/>
  <c r="Q240" i="5"/>
  <c r="O240" i="5"/>
  <c r="P240" i="5" s="1"/>
  <c r="Q239" i="5"/>
  <c r="O239" i="5"/>
  <c r="P239" i="5" s="1"/>
  <c r="Q238" i="5"/>
  <c r="O238" i="5"/>
  <c r="P238" i="5" s="1"/>
  <c r="Q237" i="5"/>
  <c r="O237" i="5"/>
  <c r="P237" i="5" s="1"/>
  <c r="Q236" i="5"/>
  <c r="O236" i="5"/>
  <c r="P236" i="5" s="1"/>
  <c r="Q235" i="5"/>
  <c r="O235" i="5"/>
  <c r="P235" i="5" s="1"/>
  <c r="Q234" i="5"/>
  <c r="O234" i="5"/>
  <c r="P234" i="5" s="1"/>
  <c r="Q233" i="5"/>
  <c r="O233" i="5"/>
  <c r="P233" i="5" s="1"/>
  <c r="Q232" i="5"/>
  <c r="O232" i="5"/>
  <c r="P232" i="5" s="1"/>
  <c r="Q231" i="5"/>
  <c r="O231" i="5"/>
  <c r="P231" i="5" s="1"/>
  <c r="Q230" i="5"/>
  <c r="O230" i="5"/>
  <c r="P230" i="5" s="1"/>
  <c r="Q229" i="5"/>
  <c r="O229" i="5"/>
  <c r="P229" i="5" s="1"/>
  <c r="Q228" i="5"/>
  <c r="O228" i="5"/>
  <c r="P228" i="5" s="1"/>
  <c r="Q227" i="5"/>
  <c r="O227" i="5"/>
  <c r="P227" i="5" s="1"/>
  <c r="Q226" i="5"/>
  <c r="O226" i="5"/>
  <c r="P226" i="5" s="1"/>
  <c r="Q225" i="5"/>
  <c r="O225" i="5"/>
  <c r="P225" i="5" s="1"/>
  <c r="Q224" i="5"/>
  <c r="O224" i="5"/>
  <c r="P224" i="5" s="1"/>
  <c r="Q223" i="5"/>
  <c r="O223" i="5"/>
  <c r="P223" i="5" s="1"/>
  <c r="Q222" i="5"/>
  <c r="O222" i="5"/>
  <c r="P222" i="5" s="1"/>
  <c r="Q221" i="5"/>
  <c r="O221" i="5"/>
  <c r="P221" i="5" s="1"/>
  <c r="Q220" i="5"/>
  <c r="O220" i="5"/>
  <c r="P220" i="5" s="1"/>
  <c r="Q219" i="5"/>
  <c r="O219" i="5"/>
  <c r="P219" i="5" s="1"/>
  <c r="Q218" i="5"/>
  <c r="O218" i="5"/>
  <c r="P218" i="5" s="1"/>
  <c r="Q217" i="5"/>
  <c r="O217" i="5"/>
  <c r="P217" i="5" s="1"/>
  <c r="Q216" i="5"/>
  <c r="O216" i="5"/>
  <c r="P216" i="5" s="1"/>
  <c r="Q215" i="5"/>
  <c r="O215" i="5"/>
  <c r="P215" i="5" s="1"/>
  <c r="Q214" i="5"/>
  <c r="O214" i="5"/>
  <c r="P214" i="5" s="1"/>
  <c r="Q213" i="5"/>
  <c r="O213" i="5"/>
  <c r="P213" i="5" s="1"/>
  <c r="Q212" i="5"/>
  <c r="O212" i="5"/>
  <c r="P212" i="5" s="1"/>
  <c r="Q211" i="5"/>
  <c r="O211" i="5"/>
  <c r="P211" i="5" s="1"/>
  <c r="Q210" i="5"/>
  <c r="O210" i="5"/>
  <c r="P210" i="5" s="1"/>
  <c r="Q209" i="5"/>
  <c r="O209" i="5"/>
  <c r="P209" i="5" s="1"/>
  <c r="Q208" i="5"/>
  <c r="O208" i="5"/>
  <c r="P208" i="5" s="1"/>
  <c r="Q207" i="5"/>
  <c r="O207" i="5"/>
  <c r="P207" i="5" s="1"/>
  <c r="Q206" i="5"/>
  <c r="O206" i="5"/>
  <c r="P206" i="5" s="1"/>
  <c r="Q205" i="5"/>
  <c r="O205" i="5"/>
  <c r="P205" i="5" s="1"/>
  <c r="Q204" i="5"/>
  <c r="O204" i="5"/>
  <c r="P204" i="5" s="1"/>
  <c r="Q203" i="5"/>
  <c r="O203" i="5"/>
  <c r="P203" i="5" s="1"/>
  <c r="Q202" i="5"/>
  <c r="O202" i="5"/>
  <c r="P202" i="5" s="1"/>
  <c r="Q201" i="5"/>
  <c r="O201" i="5"/>
  <c r="P201" i="5" s="1"/>
  <c r="Q200" i="5"/>
  <c r="O200" i="5"/>
  <c r="P200" i="5" s="1"/>
  <c r="Q199" i="5"/>
  <c r="O199" i="5"/>
  <c r="P199" i="5" s="1"/>
  <c r="Q198" i="5"/>
  <c r="O198" i="5"/>
  <c r="P198" i="5" s="1"/>
  <c r="Q197" i="5"/>
  <c r="O197" i="5"/>
  <c r="P197" i="5" s="1"/>
  <c r="Q196" i="5"/>
  <c r="O196" i="5"/>
  <c r="P196" i="5" s="1"/>
  <c r="Q195" i="5"/>
  <c r="O195" i="5"/>
  <c r="P195" i="5" s="1"/>
  <c r="Q194" i="5"/>
  <c r="O194" i="5"/>
  <c r="P194" i="5" s="1"/>
  <c r="Q193" i="5"/>
  <c r="O193" i="5"/>
  <c r="P193" i="5" s="1"/>
  <c r="Q192" i="5"/>
  <c r="O192" i="5"/>
  <c r="P192" i="5" s="1"/>
  <c r="Q191" i="5"/>
  <c r="O191" i="5"/>
  <c r="P191" i="5" s="1"/>
  <c r="Q190" i="5"/>
  <c r="O190" i="5"/>
  <c r="P190" i="5" s="1"/>
  <c r="Q189" i="5"/>
  <c r="O189" i="5"/>
  <c r="P189" i="5" s="1"/>
  <c r="Q188" i="5"/>
  <c r="O188" i="5"/>
  <c r="P188" i="5" s="1"/>
  <c r="Q187" i="5"/>
  <c r="O187" i="5"/>
  <c r="P187" i="5" s="1"/>
  <c r="Q186" i="5"/>
  <c r="O186" i="5"/>
  <c r="P186" i="5" s="1"/>
  <c r="Q185" i="5"/>
  <c r="O185" i="5"/>
  <c r="P185" i="5" s="1"/>
  <c r="Q184" i="5"/>
  <c r="O184" i="5"/>
  <c r="P184" i="5" s="1"/>
  <c r="Q183" i="5"/>
  <c r="O183" i="5"/>
  <c r="P183" i="5" s="1"/>
  <c r="Q182" i="5"/>
  <c r="O182" i="5"/>
  <c r="P182" i="5" s="1"/>
  <c r="Q181" i="5"/>
  <c r="O181" i="5"/>
  <c r="P181" i="5" s="1"/>
  <c r="Q180" i="5"/>
  <c r="O180" i="5"/>
  <c r="P180" i="5" s="1"/>
  <c r="Q179" i="5"/>
  <c r="O179" i="5"/>
  <c r="P179" i="5" s="1"/>
  <c r="Q178" i="5"/>
  <c r="O178" i="5"/>
  <c r="P178" i="5" s="1"/>
  <c r="Q177" i="5"/>
  <c r="O177" i="5"/>
  <c r="P177" i="5" s="1"/>
  <c r="Q176" i="5"/>
  <c r="O176" i="5"/>
  <c r="P176" i="5" s="1"/>
  <c r="Q175" i="5"/>
  <c r="O175" i="5"/>
  <c r="P175" i="5" s="1"/>
  <c r="Q174" i="5"/>
  <c r="O174" i="5"/>
  <c r="P174" i="5" s="1"/>
  <c r="Q173" i="5"/>
  <c r="O173" i="5"/>
  <c r="P173" i="5" s="1"/>
  <c r="Q172" i="5"/>
  <c r="O172" i="5"/>
  <c r="P172" i="5" s="1"/>
  <c r="Q171" i="5"/>
  <c r="O171" i="5"/>
  <c r="P171" i="5" s="1"/>
  <c r="Q170" i="5"/>
  <c r="O170" i="5"/>
  <c r="P170" i="5" s="1"/>
  <c r="Q169" i="5"/>
  <c r="O169" i="5"/>
  <c r="P169" i="5" s="1"/>
  <c r="Q168" i="5"/>
  <c r="O168" i="5"/>
  <c r="P168" i="5" s="1"/>
  <c r="Q167" i="5"/>
  <c r="O167" i="5"/>
  <c r="P167" i="5" s="1"/>
  <c r="Q166" i="5"/>
  <c r="O166" i="5"/>
  <c r="P166" i="5" s="1"/>
  <c r="Q165" i="5"/>
  <c r="O165" i="5"/>
  <c r="P165" i="5" s="1"/>
  <c r="Q164" i="5"/>
  <c r="O164" i="5"/>
  <c r="P164" i="5" s="1"/>
  <c r="Q163" i="5"/>
  <c r="O163" i="5"/>
  <c r="P163" i="5" s="1"/>
  <c r="Q162" i="5"/>
  <c r="O162" i="5"/>
  <c r="P162" i="5" s="1"/>
  <c r="Q161" i="5"/>
  <c r="O161" i="5"/>
  <c r="P161" i="5" s="1"/>
  <c r="Q160" i="5"/>
  <c r="O160" i="5"/>
  <c r="P160" i="5" s="1"/>
  <c r="Q159" i="5"/>
  <c r="O159" i="5"/>
  <c r="P159" i="5" s="1"/>
  <c r="Q158" i="5"/>
  <c r="O158" i="5"/>
  <c r="P158" i="5" s="1"/>
  <c r="Q157" i="5"/>
  <c r="O157" i="5"/>
  <c r="P157" i="5" s="1"/>
  <c r="Q156" i="5"/>
  <c r="O156" i="5"/>
  <c r="P156" i="5" s="1"/>
  <c r="Q155" i="5"/>
  <c r="O155" i="5"/>
  <c r="P155" i="5" s="1"/>
  <c r="Q154" i="5"/>
  <c r="O154" i="5"/>
  <c r="P154" i="5" s="1"/>
  <c r="Q153" i="5"/>
  <c r="O153" i="5"/>
  <c r="P153" i="5" s="1"/>
  <c r="Q152" i="5"/>
  <c r="O152" i="5"/>
  <c r="P152" i="5" s="1"/>
  <c r="Q151" i="5"/>
  <c r="O151" i="5"/>
  <c r="P151" i="5" s="1"/>
  <c r="Q150" i="5"/>
  <c r="O150" i="5"/>
  <c r="P150" i="5" s="1"/>
  <c r="Q149" i="5"/>
  <c r="O149" i="5"/>
  <c r="P149" i="5" s="1"/>
  <c r="Q148" i="5"/>
  <c r="O148" i="5"/>
  <c r="P148" i="5" s="1"/>
  <c r="Q147" i="5"/>
  <c r="O147" i="5"/>
  <c r="P147" i="5" s="1"/>
  <c r="Q146" i="5"/>
  <c r="O146" i="5"/>
  <c r="P146" i="5" s="1"/>
  <c r="Q145" i="5"/>
  <c r="O145" i="5"/>
  <c r="P145" i="5" s="1"/>
  <c r="Q144" i="5"/>
  <c r="O144" i="5"/>
  <c r="P144" i="5" s="1"/>
  <c r="Q143" i="5"/>
  <c r="O143" i="5"/>
  <c r="P143" i="5" s="1"/>
  <c r="Q142" i="5"/>
  <c r="O142" i="5"/>
  <c r="P142" i="5" s="1"/>
  <c r="Q141" i="5"/>
  <c r="O141" i="5"/>
  <c r="P141" i="5" s="1"/>
  <c r="Q140" i="5"/>
  <c r="O140" i="5"/>
  <c r="P140" i="5" s="1"/>
  <c r="Q139" i="5"/>
  <c r="O139" i="5"/>
  <c r="P139" i="5" s="1"/>
  <c r="Q138" i="5"/>
  <c r="O138" i="5"/>
  <c r="P138" i="5" s="1"/>
  <c r="Q137" i="5"/>
  <c r="O137" i="5"/>
  <c r="P137" i="5" s="1"/>
  <c r="Q136" i="5"/>
  <c r="O136" i="5"/>
  <c r="P136" i="5" s="1"/>
  <c r="Q135" i="5"/>
  <c r="O135" i="5"/>
  <c r="P135" i="5" s="1"/>
  <c r="Q134" i="5"/>
  <c r="O134" i="5"/>
  <c r="P134" i="5" s="1"/>
  <c r="Q133" i="5"/>
  <c r="O133" i="5"/>
  <c r="P133" i="5" s="1"/>
  <c r="Q132" i="5"/>
  <c r="O132" i="5"/>
  <c r="P132" i="5" s="1"/>
  <c r="Q131" i="5"/>
  <c r="O131" i="5"/>
  <c r="P131" i="5" s="1"/>
  <c r="Q130" i="5"/>
  <c r="O130" i="5"/>
  <c r="P130" i="5" s="1"/>
  <c r="Q129" i="5"/>
  <c r="O129" i="5"/>
  <c r="P129" i="5" s="1"/>
  <c r="Q128" i="5"/>
  <c r="O128" i="5"/>
  <c r="P128" i="5" s="1"/>
  <c r="Q127" i="5"/>
  <c r="O127" i="5"/>
  <c r="P127" i="5" s="1"/>
  <c r="Q126" i="5"/>
  <c r="O126" i="5"/>
  <c r="P126" i="5" s="1"/>
  <c r="Q125" i="5"/>
  <c r="O125" i="5"/>
  <c r="P125" i="5" s="1"/>
  <c r="Q124" i="5"/>
  <c r="O124" i="5"/>
  <c r="P124" i="5" s="1"/>
  <c r="Q123" i="5"/>
  <c r="O123" i="5"/>
  <c r="P123" i="5" s="1"/>
  <c r="Q122" i="5"/>
  <c r="O122" i="5"/>
  <c r="P122" i="5" s="1"/>
  <c r="Q121" i="5"/>
  <c r="O121" i="5"/>
  <c r="P121" i="5" s="1"/>
  <c r="Q120" i="5"/>
  <c r="O120" i="5"/>
  <c r="P120" i="5" s="1"/>
  <c r="Q119" i="5"/>
  <c r="O119" i="5"/>
  <c r="P119" i="5" s="1"/>
  <c r="Q118" i="5"/>
  <c r="O118" i="5"/>
  <c r="P118" i="5" s="1"/>
  <c r="Q117" i="5"/>
  <c r="O117" i="5"/>
  <c r="P117" i="5" s="1"/>
  <c r="Q116" i="5"/>
  <c r="O116" i="5"/>
  <c r="P116" i="5" s="1"/>
  <c r="Q115" i="5"/>
  <c r="O115" i="5"/>
  <c r="P115" i="5" s="1"/>
  <c r="Q114" i="5"/>
  <c r="O114" i="5"/>
  <c r="P114" i="5" s="1"/>
  <c r="Q113" i="5"/>
  <c r="O113" i="5"/>
  <c r="P113" i="5" s="1"/>
  <c r="Q112" i="5"/>
  <c r="O112" i="5"/>
  <c r="P112" i="5" s="1"/>
  <c r="Q111" i="5"/>
  <c r="O111" i="5"/>
  <c r="P111" i="5" s="1"/>
  <c r="Q110" i="5"/>
  <c r="O110" i="5"/>
  <c r="P110" i="5" s="1"/>
  <c r="Q109" i="5"/>
  <c r="O109" i="5"/>
  <c r="P109" i="5" s="1"/>
  <c r="Q108" i="5"/>
  <c r="O108" i="5"/>
  <c r="P108" i="5" s="1"/>
  <c r="Q107" i="5"/>
  <c r="O107" i="5"/>
  <c r="P107" i="5" s="1"/>
  <c r="Q106" i="5"/>
  <c r="O106" i="5"/>
  <c r="P106" i="5" s="1"/>
  <c r="Q105" i="5"/>
  <c r="O105" i="5"/>
  <c r="P105" i="5" s="1"/>
  <c r="Q104" i="5"/>
  <c r="O104" i="5"/>
  <c r="P104" i="5" s="1"/>
  <c r="Q103" i="5"/>
  <c r="O103" i="5"/>
  <c r="P103" i="5" s="1"/>
  <c r="Q102" i="5"/>
  <c r="O102" i="5"/>
  <c r="P102" i="5" s="1"/>
  <c r="Q101" i="5"/>
  <c r="O101" i="5"/>
  <c r="P101" i="5" s="1"/>
  <c r="Q100" i="5"/>
  <c r="O100" i="5"/>
  <c r="P100" i="5" s="1"/>
  <c r="Q99" i="5"/>
  <c r="O99" i="5"/>
  <c r="P99" i="5" s="1"/>
  <c r="Q98" i="5"/>
  <c r="O98" i="5"/>
  <c r="P98" i="5" s="1"/>
  <c r="Q97" i="5"/>
  <c r="O97" i="5"/>
  <c r="P97" i="5" s="1"/>
  <c r="Q96" i="5"/>
  <c r="O96" i="5"/>
  <c r="P96" i="5" s="1"/>
  <c r="Q95" i="5"/>
  <c r="O95" i="5"/>
  <c r="P95" i="5" s="1"/>
  <c r="Q94" i="5"/>
  <c r="O94" i="5"/>
  <c r="P94" i="5" s="1"/>
  <c r="Q93" i="5"/>
  <c r="O93" i="5"/>
  <c r="P93" i="5" s="1"/>
  <c r="Q92" i="5"/>
  <c r="O92" i="5"/>
  <c r="P92" i="5" s="1"/>
  <c r="Q91" i="5"/>
  <c r="O91" i="5"/>
  <c r="P91" i="5" s="1"/>
  <c r="Q90" i="5"/>
  <c r="O90" i="5"/>
  <c r="P90" i="5" s="1"/>
  <c r="Q89" i="5"/>
  <c r="O89" i="5"/>
  <c r="P89" i="5" s="1"/>
  <c r="Q88" i="5"/>
  <c r="O88" i="5"/>
  <c r="P88" i="5" s="1"/>
  <c r="Q87" i="5"/>
  <c r="O87" i="5"/>
  <c r="P87" i="5" s="1"/>
  <c r="Q86" i="5"/>
  <c r="O86" i="5"/>
  <c r="P86" i="5" s="1"/>
  <c r="Q85" i="5"/>
  <c r="O85" i="5"/>
  <c r="P85" i="5" s="1"/>
  <c r="Q84" i="5"/>
  <c r="O84" i="5"/>
  <c r="P84" i="5" s="1"/>
  <c r="Q83" i="5"/>
  <c r="O83" i="5"/>
  <c r="P83" i="5" s="1"/>
  <c r="Q82" i="5"/>
  <c r="O82" i="5"/>
  <c r="P82" i="5" s="1"/>
  <c r="Q81" i="5"/>
  <c r="O81" i="5"/>
  <c r="P81" i="5" s="1"/>
  <c r="Q80" i="5"/>
  <c r="O80" i="5"/>
  <c r="P80" i="5" s="1"/>
  <c r="Q79" i="5"/>
  <c r="O79" i="5"/>
  <c r="P79" i="5" s="1"/>
  <c r="Q78" i="5"/>
  <c r="O78" i="5"/>
  <c r="P78" i="5" s="1"/>
  <c r="Q77" i="5"/>
  <c r="O77" i="5"/>
  <c r="P77" i="5" s="1"/>
  <c r="Q76" i="5"/>
  <c r="O76" i="5"/>
  <c r="P76" i="5" s="1"/>
  <c r="Q75" i="5"/>
  <c r="O75" i="5"/>
  <c r="P75" i="5" s="1"/>
  <c r="Q74" i="5"/>
  <c r="O74" i="5"/>
  <c r="P74" i="5" s="1"/>
  <c r="Q73" i="5"/>
  <c r="O73" i="5"/>
  <c r="P73" i="5" s="1"/>
  <c r="Q72" i="5"/>
  <c r="O72" i="5"/>
  <c r="P72" i="5" s="1"/>
  <c r="Q71" i="5"/>
  <c r="O71" i="5"/>
  <c r="P71" i="5" s="1"/>
  <c r="Q70" i="5"/>
  <c r="O70" i="5"/>
  <c r="P70" i="5" s="1"/>
  <c r="Q69" i="5"/>
  <c r="O69" i="5"/>
  <c r="P69" i="5" s="1"/>
  <c r="Q68" i="5"/>
  <c r="O68" i="5"/>
  <c r="P68" i="5" s="1"/>
  <c r="Q67" i="5"/>
  <c r="O67" i="5"/>
  <c r="P67" i="5" s="1"/>
  <c r="Q66" i="5"/>
  <c r="O66" i="5"/>
  <c r="P66" i="5" s="1"/>
  <c r="Q65" i="5"/>
  <c r="O65" i="5"/>
  <c r="P65" i="5" s="1"/>
  <c r="Q64" i="5"/>
  <c r="O64" i="5"/>
  <c r="P64" i="5" s="1"/>
  <c r="Q63" i="5"/>
  <c r="O63" i="5"/>
  <c r="P63" i="5" s="1"/>
  <c r="Q62" i="5"/>
  <c r="O62" i="5"/>
  <c r="P62" i="5" s="1"/>
  <c r="Q61" i="5"/>
  <c r="O61" i="5"/>
  <c r="P61" i="5" s="1"/>
  <c r="Q60" i="5"/>
  <c r="O60" i="5"/>
  <c r="P60" i="5" s="1"/>
  <c r="Q59" i="5"/>
  <c r="O59" i="5"/>
  <c r="P59" i="5" s="1"/>
  <c r="Q58" i="5"/>
  <c r="O58" i="5"/>
  <c r="P58" i="5" s="1"/>
  <c r="Q57" i="5"/>
  <c r="O57" i="5"/>
  <c r="P57" i="5" s="1"/>
  <c r="Q56" i="5"/>
  <c r="O56" i="5"/>
  <c r="P56" i="5" s="1"/>
  <c r="Q55" i="5"/>
  <c r="O55" i="5"/>
  <c r="P55" i="5" s="1"/>
  <c r="Q54" i="5"/>
  <c r="O54" i="5"/>
  <c r="P54" i="5" s="1"/>
  <c r="Q53" i="5"/>
  <c r="O53" i="5"/>
  <c r="P53" i="5" s="1"/>
  <c r="Q52" i="5"/>
  <c r="O52" i="5"/>
  <c r="P52" i="5" s="1"/>
  <c r="Q51" i="5"/>
  <c r="O51" i="5"/>
  <c r="P51" i="5" s="1"/>
  <c r="Q50" i="5"/>
  <c r="O50" i="5"/>
  <c r="P50" i="5" s="1"/>
  <c r="Q49" i="5"/>
  <c r="O49" i="5"/>
  <c r="P49" i="5" s="1"/>
  <c r="Q48" i="5"/>
  <c r="O48" i="5"/>
  <c r="P48" i="5" s="1"/>
  <c r="Q47" i="5"/>
  <c r="O47" i="5"/>
  <c r="P47" i="5" s="1"/>
  <c r="Q46" i="5"/>
  <c r="O46" i="5"/>
  <c r="P46" i="5" s="1"/>
  <c r="Q45" i="5"/>
  <c r="O45" i="5"/>
  <c r="P45" i="5" s="1"/>
  <c r="Q44" i="5"/>
  <c r="O44" i="5"/>
  <c r="P44" i="5" s="1"/>
  <c r="Q43" i="5"/>
  <c r="O43" i="5"/>
  <c r="P43" i="5" s="1"/>
  <c r="Q42" i="5"/>
  <c r="O42" i="5"/>
  <c r="P42" i="5" s="1"/>
  <c r="Q41" i="5"/>
  <c r="O41" i="5"/>
  <c r="P41" i="5" s="1"/>
  <c r="Q40" i="5"/>
  <c r="O40" i="5"/>
  <c r="P40" i="5" s="1"/>
  <c r="Q39" i="5"/>
  <c r="O39" i="5"/>
  <c r="P39" i="5" s="1"/>
  <c r="Q38" i="5"/>
  <c r="O38" i="5"/>
  <c r="P38" i="5" s="1"/>
  <c r="Q37" i="5"/>
  <c r="O37" i="5"/>
  <c r="P37" i="5" s="1"/>
  <c r="Q36" i="5"/>
  <c r="O36" i="5"/>
  <c r="P36" i="5" s="1"/>
  <c r="Q35" i="5"/>
  <c r="O35" i="5"/>
  <c r="P35" i="5" s="1"/>
  <c r="Q34" i="5"/>
  <c r="O34" i="5"/>
  <c r="P34" i="5" s="1"/>
  <c r="Q33" i="5"/>
  <c r="O33" i="5"/>
  <c r="P33" i="5" s="1"/>
  <c r="Q32" i="5"/>
  <c r="O32" i="5"/>
  <c r="P32" i="5" s="1"/>
  <c r="Q31" i="5"/>
  <c r="O31" i="5"/>
  <c r="P31" i="5" s="1"/>
  <c r="Q30" i="5"/>
  <c r="O30" i="5"/>
  <c r="P30" i="5" s="1"/>
  <c r="Q29" i="5"/>
  <c r="O29" i="5"/>
  <c r="P29" i="5" s="1"/>
  <c r="Q28" i="5"/>
  <c r="O28" i="5"/>
  <c r="P28" i="5" s="1"/>
  <c r="Q27" i="5"/>
  <c r="O27" i="5"/>
  <c r="P27" i="5" s="1"/>
  <c r="Q26" i="5"/>
  <c r="O26" i="5"/>
  <c r="P26" i="5" s="1"/>
  <c r="Q25" i="5"/>
  <c r="O25" i="5"/>
  <c r="P25" i="5" s="1"/>
  <c r="Q24" i="5"/>
  <c r="O24" i="5"/>
  <c r="P24" i="5" s="1"/>
  <c r="Q23" i="5"/>
  <c r="O23" i="5"/>
  <c r="P23" i="5" s="1"/>
  <c r="Q22" i="5"/>
  <c r="O22" i="5"/>
  <c r="P22" i="5" s="1"/>
  <c r="Q21" i="5"/>
  <c r="O21" i="5"/>
  <c r="P21" i="5" s="1"/>
  <c r="Q20" i="5"/>
  <c r="O20" i="5"/>
  <c r="P20" i="5" s="1"/>
  <c r="Q19" i="5"/>
  <c r="O19" i="5"/>
  <c r="P19" i="5" s="1"/>
  <c r="Q18" i="5"/>
  <c r="O18" i="5"/>
  <c r="P18" i="5" s="1"/>
  <c r="Q17" i="5"/>
  <c r="O17" i="5"/>
  <c r="P17" i="5" s="1"/>
  <c r="Q16" i="5"/>
  <c r="O16" i="5"/>
  <c r="P16" i="5" s="1"/>
  <c r="Q15" i="5"/>
  <c r="O15" i="5"/>
  <c r="P15" i="5" s="1"/>
  <c r="Q14" i="5"/>
  <c r="O14" i="5"/>
  <c r="P14" i="5" s="1"/>
  <c r="Q13" i="5"/>
  <c r="O13" i="5"/>
  <c r="P13" i="5" s="1"/>
  <c r="Q12" i="5"/>
  <c r="O12" i="5"/>
  <c r="P12" i="5" s="1"/>
  <c r="Q11" i="5"/>
  <c r="O11" i="5"/>
  <c r="P11" i="5" s="1"/>
  <c r="Q10" i="5"/>
  <c r="O10" i="5"/>
  <c r="P10" i="5" s="1"/>
  <c r="Q9" i="5"/>
  <c r="O9" i="5"/>
  <c r="P9" i="5" s="1"/>
  <c r="Q8" i="5"/>
  <c r="O8" i="5"/>
  <c r="P8" i="5" s="1"/>
  <c r="Q7" i="5"/>
  <c r="O7" i="5"/>
  <c r="P7" i="5" s="1"/>
  <c r="Q6" i="5"/>
  <c r="O6" i="5"/>
  <c r="P6" i="5" s="1"/>
  <c r="Q5" i="5"/>
  <c r="O5" i="5"/>
  <c r="P5" i="5" s="1"/>
  <c r="Q4" i="5"/>
  <c r="O4" i="5"/>
  <c r="P4" i="5" s="1"/>
  <c r="Q3" i="5"/>
  <c r="O3" i="5"/>
  <c r="P3" i="5" s="1"/>
  <c r="Q2" i="5"/>
  <c r="O2" i="5"/>
  <c r="P2" i="5" s="1"/>
  <c r="B7" i="2"/>
  <c r="B19" i="1"/>
  <c r="M259" i="5" l="1"/>
  <c r="M258" i="5"/>
  <c r="M327" i="5"/>
  <c r="M326" i="5"/>
  <c r="R326" i="5" s="1"/>
  <c r="S326" i="5" s="1"/>
  <c r="M325" i="5"/>
  <c r="M324" i="5"/>
  <c r="M323" i="5"/>
  <c r="M322" i="5"/>
  <c r="R322" i="5" s="1"/>
  <c r="S322" i="5" s="1"/>
  <c r="M293" i="5"/>
  <c r="M292" i="5"/>
  <c r="M290" i="5"/>
  <c r="M288" i="5"/>
  <c r="R288" i="5" s="1"/>
  <c r="S288" i="5" s="1"/>
  <c r="M285" i="5"/>
  <c r="M281" i="5"/>
  <c r="R281" i="5" s="1"/>
  <c r="S281" i="5" s="1"/>
  <c r="M278" i="5"/>
  <c r="M276" i="5"/>
  <c r="M274" i="5"/>
  <c r="M272" i="5"/>
  <c r="M269" i="5"/>
  <c r="M267" i="5"/>
  <c r="M265" i="5"/>
  <c r="M263" i="5"/>
  <c r="M261" i="5"/>
  <c r="M321" i="5"/>
  <c r="M320" i="5"/>
  <c r="M319" i="5"/>
  <c r="R319" i="5" s="1"/>
  <c r="S319" i="5" s="1"/>
  <c r="M318" i="5"/>
  <c r="M317" i="5"/>
  <c r="M316" i="5"/>
  <c r="M315" i="5"/>
  <c r="M314" i="5"/>
  <c r="M313" i="5"/>
  <c r="M312" i="5"/>
  <c r="M311" i="5"/>
  <c r="M310" i="5"/>
  <c r="M309" i="5"/>
  <c r="M308" i="5"/>
  <c r="R308" i="5" s="1"/>
  <c r="S308" i="5" s="1"/>
  <c r="M307" i="5"/>
  <c r="M306" i="5"/>
  <c r="R306" i="5" s="1"/>
  <c r="S306" i="5" s="1"/>
  <c r="M305" i="5"/>
  <c r="M304" i="5"/>
  <c r="R304" i="5" s="1"/>
  <c r="S304" i="5" s="1"/>
  <c r="M303" i="5"/>
  <c r="M302" i="5"/>
  <c r="M301" i="5"/>
  <c r="M300" i="5"/>
  <c r="M299" i="5"/>
  <c r="M298" i="5"/>
  <c r="M297" i="5"/>
  <c r="M296" i="5"/>
  <c r="M295" i="5"/>
  <c r="R295" i="5" s="1"/>
  <c r="S295" i="5" s="1"/>
  <c r="M294" i="5"/>
  <c r="M291" i="5"/>
  <c r="M289" i="5"/>
  <c r="M287" i="5"/>
  <c r="M286" i="5"/>
  <c r="M284" i="5"/>
  <c r="B392" i="4" s="1"/>
  <c r="M283" i="5"/>
  <c r="M282" i="5"/>
  <c r="M280" i="5"/>
  <c r="M279" i="5"/>
  <c r="M277" i="5"/>
  <c r="M275" i="5"/>
  <c r="M273" i="5"/>
  <c r="M271" i="5"/>
  <c r="M270" i="5"/>
  <c r="D384" i="4" s="1"/>
  <c r="M268" i="5"/>
  <c r="M266" i="5"/>
  <c r="M264" i="5"/>
  <c r="R264" i="5" s="1"/>
  <c r="S264" i="5" s="1"/>
  <c r="M262" i="5"/>
  <c r="M260" i="5"/>
  <c r="M257" i="5"/>
  <c r="M376" i="5"/>
  <c r="M375" i="5"/>
  <c r="M374" i="5"/>
  <c r="R374" i="5" s="1"/>
  <c r="S374" i="5" s="1"/>
  <c r="M373" i="5"/>
  <c r="M372" i="5"/>
  <c r="R372" i="5" s="1"/>
  <c r="S372" i="5" s="1"/>
  <c r="M371" i="5"/>
  <c r="M370" i="5"/>
  <c r="M369" i="5"/>
  <c r="M368" i="5"/>
  <c r="M367" i="5"/>
  <c r="M366" i="5"/>
  <c r="M365" i="5"/>
  <c r="M364" i="5"/>
  <c r="R364" i="5" s="1"/>
  <c r="S364" i="5" s="1"/>
  <c r="M363" i="5"/>
  <c r="M362" i="5"/>
  <c r="M361" i="5"/>
  <c r="R361" i="5" s="1"/>
  <c r="S361" i="5" s="1"/>
  <c r="M360" i="5"/>
  <c r="R360" i="5" s="1"/>
  <c r="S360" i="5" s="1"/>
  <c r="M359" i="5"/>
  <c r="N359" i="5" s="1"/>
  <c r="M358" i="5"/>
  <c r="M357" i="5"/>
  <c r="R357" i="5" s="1"/>
  <c r="M356" i="5"/>
  <c r="R356" i="5" s="1"/>
  <c r="S356" i="5" s="1"/>
  <c r="M355" i="5"/>
  <c r="M354" i="5"/>
  <c r="M353" i="5"/>
  <c r="R353" i="5" s="1"/>
  <c r="S353" i="5" s="1"/>
  <c r="M352" i="5"/>
  <c r="M351" i="5"/>
  <c r="R351" i="5" s="1"/>
  <c r="S351" i="5" s="1"/>
  <c r="M350" i="5"/>
  <c r="M349" i="5"/>
  <c r="M348" i="5"/>
  <c r="M347" i="5"/>
  <c r="R347" i="5" s="1"/>
  <c r="S347" i="5" s="1"/>
  <c r="M346" i="5"/>
  <c r="E109" i="4" s="1" a="1"/>
  <c r="E109" i="4" s="1"/>
  <c r="M345" i="5"/>
  <c r="M344" i="5"/>
  <c r="M343" i="5"/>
  <c r="M342" i="5"/>
  <c r="M341" i="5"/>
  <c r="M340" i="5"/>
  <c r="R340" i="5" s="1"/>
  <c r="S340" i="5" s="1"/>
  <c r="M339" i="5"/>
  <c r="R339" i="5" s="1"/>
  <c r="S339" i="5" s="1"/>
  <c r="M338" i="5"/>
  <c r="M337" i="5"/>
  <c r="M336" i="5"/>
  <c r="M335" i="5"/>
  <c r="M334" i="5"/>
  <c r="M333" i="5"/>
  <c r="C403" i="4" s="1"/>
  <c r="M332" i="5"/>
  <c r="M331" i="5"/>
  <c r="M330" i="5"/>
  <c r="M329" i="5"/>
  <c r="M328" i="5"/>
  <c r="F402" i="4" s="1"/>
  <c r="D377" i="4"/>
  <c r="G332" i="4"/>
  <c r="F332" i="4"/>
  <c r="E332" i="4"/>
  <c r="D332" i="4"/>
  <c r="C332" i="4"/>
  <c r="B332" i="4"/>
  <c r="H331" i="4"/>
  <c r="G331" i="4"/>
  <c r="G330" i="4"/>
  <c r="E330" i="4"/>
  <c r="H329" i="4"/>
  <c r="G329" i="4"/>
  <c r="B329" i="4"/>
  <c r="H328" i="4"/>
  <c r="G323" i="4"/>
  <c r="F323" i="4"/>
  <c r="E323" i="4"/>
  <c r="D323" i="4"/>
  <c r="C323" i="4"/>
  <c r="B323" i="4"/>
  <c r="H322" i="4"/>
  <c r="G322" i="4"/>
  <c r="C322" i="4"/>
  <c r="B322" i="4"/>
  <c r="H321" i="4"/>
  <c r="H330" i="4"/>
  <c r="G321" i="4"/>
  <c r="E321" i="4"/>
  <c r="H320" i="4"/>
  <c r="E402" i="4"/>
  <c r="G320" i="4"/>
  <c r="B320" i="4"/>
  <c r="H319" i="4"/>
  <c r="G314" i="4"/>
  <c r="G395" i="4"/>
  <c r="F314" i="4"/>
  <c r="E395" i="4"/>
  <c r="E314" i="4"/>
  <c r="H394" i="4"/>
  <c r="D314" i="4"/>
  <c r="E394" i="4"/>
  <c r="C314" i="4"/>
  <c r="B314" i="4"/>
  <c r="H313" i="4"/>
  <c r="G313" i="4"/>
  <c r="H392" i="4"/>
  <c r="F313" i="4"/>
  <c r="E313" i="4"/>
  <c r="D313" i="4"/>
  <c r="G391" i="4"/>
  <c r="H312" i="4"/>
  <c r="E391" i="4"/>
  <c r="G312" i="4"/>
  <c r="B386" i="4"/>
  <c r="F312" i="4"/>
  <c r="F385" i="4"/>
  <c r="H311" i="4"/>
  <c r="C385" i="4"/>
  <c r="G311" i="4"/>
  <c r="H384" i="4"/>
  <c r="H310" i="4"/>
  <c r="G310" i="4"/>
  <c r="F310" i="4"/>
  <c r="E113" i="4" a="1"/>
  <c r="E113" i="4" s="1"/>
  <c r="D113" i="4" a="1"/>
  <c r="D113" i="4" s="1"/>
  <c r="H382" i="4"/>
  <c r="C113" i="4" a="1"/>
  <c r="C113" i="4" s="1"/>
  <c r="B378" i="4"/>
  <c r="B113" i="4" a="1"/>
  <c r="B113" i="4" s="1"/>
  <c r="F377" i="4"/>
  <c r="H112" i="4" a="1"/>
  <c r="H112" i="4" s="1"/>
  <c r="H29" i="4" a="1"/>
  <c r="H29" i="4" s="1"/>
  <c r="G112" i="4" a="1"/>
  <c r="G112" i="4" s="1"/>
  <c r="E10" i="4" a="1"/>
  <c r="E10" i="4" s="1"/>
  <c r="F112" i="4" a="1"/>
  <c r="F112" i="4" s="1"/>
  <c r="H10" i="4" a="1"/>
  <c r="H10" i="4" s="1"/>
  <c r="E112" i="4" a="1"/>
  <c r="E112" i="4" s="1"/>
  <c r="F12" i="4" a="1"/>
  <c r="F12" i="4" s="1"/>
  <c r="D112" i="4" a="1"/>
  <c r="D112" i="4" s="1"/>
  <c r="D13" i="4" a="1"/>
  <c r="D13" i="4" s="1"/>
  <c r="C112" i="4" a="1"/>
  <c r="C112" i="4" s="1"/>
  <c r="H13" i="4" a="1"/>
  <c r="H13" i="4" s="1"/>
  <c r="D14" i="4" a="1"/>
  <c r="D14" i="4" s="1"/>
  <c r="H111" i="4" a="1"/>
  <c r="H111" i="4" s="1"/>
  <c r="G14" i="4" a="1"/>
  <c r="G14" i="4" s="1"/>
  <c r="G111" i="4" a="1"/>
  <c r="G111" i="4" s="1"/>
  <c r="G20" i="4" a="1"/>
  <c r="G20" i="4" s="1"/>
  <c r="G21" i="4" a="1"/>
  <c r="G21" i="4" s="1"/>
  <c r="E23" i="4" a="1"/>
  <c r="E23" i="4" s="1"/>
  <c r="H28" i="4" a="1"/>
  <c r="H28" i="4" s="1"/>
  <c r="H31" i="4" a="1"/>
  <c r="H31" i="4" s="1"/>
  <c r="B111" i="4" a="1"/>
  <c r="B111" i="4" s="1"/>
  <c r="E32" i="4" a="1"/>
  <c r="E32" i="4" s="1"/>
  <c r="H110" i="4" a="1"/>
  <c r="H110" i="4" s="1"/>
  <c r="B33" i="4" a="1"/>
  <c r="B33" i="4" s="1"/>
  <c r="G110" i="4" a="1"/>
  <c r="G110" i="4" s="1"/>
  <c r="F38" i="4" a="1"/>
  <c r="F38" i="4" s="1"/>
  <c r="F110" i="4" a="1"/>
  <c r="F110" i="4" s="1"/>
  <c r="H40" i="4" a="1"/>
  <c r="H40" i="4" s="1"/>
  <c r="F41" i="4" a="1"/>
  <c r="F41" i="4" s="1"/>
  <c r="D42" i="4" a="1"/>
  <c r="D42" i="4" s="1"/>
  <c r="C110" i="4" a="1"/>
  <c r="C110" i="4" s="1"/>
  <c r="H47" i="4" a="1"/>
  <c r="H47" i="4" s="1"/>
  <c r="G50" i="4" a="1"/>
  <c r="G50" i="4" s="1"/>
  <c r="H109" i="4" a="1"/>
  <c r="H109" i="4" s="1"/>
  <c r="D51" i="4" a="1"/>
  <c r="D51" i="4" s="1"/>
  <c r="G109" i="4" a="1"/>
  <c r="G109" i="4" s="1"/>
  <c r="B56" i="4" a="1"/>
  <c r="B56" i="4" s="1"/>
  <c r="H56" i="4" a="1"/>
  <c r="H56" i="4" s="1"/>
  <c r="B58" i="4" a="1"/>
  <c r="B58" i="4" s="1"/>
  <c r="D109" i="4" a="1"/>
  <c r="D109" i="4" s="1"/>
  <c r="F412" i="4"/>
  <c r="C109" i="4" a="1"/>
  <c r="C109" i="4" s="1"/>
  <c r="H58" i="4" a="1"/>
  <c r="H58" i="4" s="1"/>
  <c r="B105" i="4" a="1"/>
  <c r="B105" i="4" s="1"/>
  <c r="E59" i="4" a="1"/>
  <c r="E59" i="4" s="1"/>
  <c r="H104" i="4" a="1"/>
  <c r="H104" i="4" s="1"/>
  <c r="D64" i="4" a="1"/>
  <c r="D64" i="4" s="1"/>
  <c r="G104" i="4" a="1"/>
  <c r="G104" i="4" s="1"/>
  <c r="H65" i="4" a="1"/>
  <c r="H65" i="4" s="1"/>
  <c r="F104" i="4" a="1"/>
  <c r="F104" i="4" s="1"/>
  <c r="C67" i="4" a="1"/>
  <c r="C67" i="4" s="1"/>
  <c r="C104" i="4" a="1"/>
  <c r="C104" i="4" s="1"/>
  <c r="H67" i="4" a="1"/>
  <c r="H67" i="4" s="1"/>
  <c r="E68" i="4" a="1"/>
  <c r="E68" i="4" s="1"/>
  <c r="G74" i="4" a="1"/>
  <c r="G74" i="4" s="1"/>
  <c r="D75" i="4" a="1"/>
  <c r="D75" i="4" s="1"/>
  <c r="B76" i="4" a="1"/>
  <c r="B76" i="4" s="1"/>
  <c r="B101" i="4" a="1"/>
  <c r="B101" i="4" s="1"/>
  <c r="F76" i="4" a="1"/>
  <c r="F76" i="4" s="1"/>
  <c r="E95" i="4" a="1"/>
  <c r="E95" i="4" s="1"/>
  <c r="D77" i="4" a="1"/>
  <c r="D77" i="4" s="1"/>
  <c r="G94" i="4" a="1"/>
  <c r="G94" i="4" s="1"/>
  <c r="H77" i="4" a="1"/>
  <c r="H77" i="4" s="1"/>
  <c r="G83" i="4" a="1"/>
  <c r="G83" i="4" s="1"/>
  <c r="H92" i="4" a="1"/>
  <c r="H92" i="4" s="1"/>
  <c r="F91" i="4" a="1"/>
  <c r="F91" i="4" s="1"/>
  <c r="F85" i="4" a="1"/>
  <c r="F85" i="4" s="1"/>
  <c r="B86" i="4" a="1"/>
  <c r="B86" i="4" s="1"/>
  <c r="D86" i="4" a="1"/>
  <c r="D86" i="4" s="1"/>
  <c r="D85" i="4" a="1"/>
  <c r="D85" i="4" s="1"/>
  <c r="H91" i="4" a="1"/>
  <c r="H91" i="4" s="1"/>
  <c r="G84" i="4" a="1"/>
  <c r="G84" i="4" s="1"/>
  <c r="G93" i="4" a="1"/>
  <c r="G93" i="4" s="1"/>
  <c r="H82" i="4" a="1"/>
  <c r="H82" i="4" s="1"/>
  <c r="E94" i="4" a="1"/>
  <c r="E94" i="4" s="1"/>
  <c r="C82" i="4" a="1"/>
  <c r="C82" i="4" s="1"/>
  <c r="B95" i="4" a="1"/>
  <c r="B95" i="4" s="1"/>
  <c r="H76" i="4" a="1"/>
  <c r="H76" i="4" s="1"/>
  <c r="F95" i="4" a="1"/>
  <c r="F95" i="4" s="1"/>
  <c r="G73" i="4" a="1"/>
  <c r="G73" i="4" s="1"/>
  <c r="E67" i="4" a="1"/>
  <c r="E67" i="4" s="1"/>
  <c r="H66" i="4" a="1"/>
  <c r="H66" i="4" s="1"/>
  <c r="H101" i="4" a="1"/>
  <c r="H101" i="4" s="1"/>
  <c r="E65" i="4" a="1"/>
  <c r="E65" i="4" s="1"/>
  <c r="F102" i="4" a="1"/>
  <c r="F102" i="4" s="1"/>
  <c r="H64" i="4" a="1"/>
  <c r="H64" i="4" s="1"/>
  <c r="C103" i="4" a="1"/>
  <c r="C103" i="4" s="1"/>
  <c r="B60" i="4" a="1"/>
  <c r="B60" i="4" s="1"/>
  <c r="G103" i="4" a="1"/>
  <c r="G103" i="4" s="1"/>
  <c r="D59" i="4" a="1"/>
  <c r="D59" i="4" s="1"/>
  <c r="D104" i="4" a="1"/>
  <c r="D104" i="4" s="1"/>
  <c r="G58" i="4" a="1"/>
  <c r="G58" i="4" s="1"/>
  <c r="G364" i="4"/>
  <c r="H57" i="4" a="1"/>
  <c r="H57" i="4" s="1"/>
  <c r="G365" i="4"/>
  <c r="C56" i="4" a="1"/>
  <c r="C56" i="4" s="1"/>
  <c r="G366" i="4"/>
  <c r="E51" i="4" a="1"/>
  <c r="E51" i="4" s="1"/>
  <c r="D367" i="4"/>
  <c r="H50" i="4" a="1"/>
  <c r="H50" i="4" s="1"/>
  <c r="G367" i="4"/>
  <c r="C49" i="4" a="1"/>
  <c r="C49" i="4" s="1"/>
  <c r="C368" i="4"/>
  <c r="G47" i="4" a="1"/>
  <c r="G47" i="4" s="1"/>
  <c r="G373" i="4"/>
  <c r="C42" i="4" a="1"/>
  <c r="C42" i="4" s="1"/>
  <c r="G374" i="4"/>
  <c r="D41" i="4" a="1"/>
  <c r="D41" i="4" s="1"/>
  <c r="D375" i="4"/>
  <c r="G39" i="4" a="1"/>
  <c r="G39" i="4" s="1"/>
  <c r="G375" i="4"/>
  <c r="E38" i="4" a="1"/>
  <c r="E38" i="4" s="1"/>
  <c r="G376" i="4"/>
  <c r="H32" i="4" a="1"/>
  <c r="H32" i="4" s="1"/>
  <c r="C377" i="4"/>
  <c r="D32" i="4" a="1"/>
  <c r="D32" i="4" s="1"/>
  <c r="G377" i="4"/>
  <c r="E30" i="4" a="1"/>
  <c r="E30" i="4" s="1"/>
  <c r="D382" i="4"/>
  <c r="F23" i="4" a="1"/>
  <c r="F23" i="4" s="1"/>
  <c r="G382" i="4"/>
  <c r="B23" i="4" a="1"/>
  <c r="B23" i="4" s="1"/>
  <c r="H21" i="4" a="1"/>
  <c r="H21" i="4" s="1"/>
  <c r="G383" i="4"/>
  <c r="H19" i="4" a="1"/>
  <c r="H19" i="4" s="1"/>
  <c r="E14" i="4" a="1"/>
  <c r="E14" i="4" s="1"/>
  <c r="G384" i="4"/>
  <c r="B14" i="4" a="1"/>
  <c r="B14" i="4" s="1"/>
  <c r="D385" i="4"/>
  <c r="F13" i="4" a="1"/>
  <c r="F13" i="4" s="1"/>
  <c r="H385" i="4"/>
  <c r="H12" i="4" a="1"/>
  <c r="H12" i="4" s="1"/>
  <c r="D386" i="4"/>
  <c r="F391" i="4"/>
  <c r="G392" i="4"/>
  <c r="H393" i="4"/>
  <c r="D394" i="4"/>
  <c r="G394" i="4"/>
  <c r="C395" i="4"/>
  <c r="H400" i="4"/>
  <c r="G401" i="4"/>
  <c r="H402" i="4"/>
  <c r="D403" i="4"/>
  <c r="E403" i="4"/>
  <c r="F403" i="4"/>
  <c r="G403" i="4"/>
  <c r="H403" i="4"/>
  <c r="B404" i="4"/>
  <c r="C404" i="4"/>
  <c r="D404" i="4"/>
  <c r="E404" i="4"/>
  <c r="F404" i="4"/>
  <c r="G404" i="4"/>
  <c r="H404" i="4"/>
  <c r="B405" i="4"/>
  <c r="C409" i="4"/>
  <c r="D409" i="4"/>
  <c r="E409" i="4"/>
  <c r="F409" i="4"/>
  <c r="G409" i="4"/>
  <c r="H409" i="4"/>
  <c r="B410" i="4"/>
  <c r="C410" i="4"/>
  <c r="D410" i="4"/>
  <c r="E410" i="4"/>
  <c r="F410" i="4"/>
  <c r="G410" i="4"/>
  <c r="H410" i="4"/>
  <c r="B411" i="4"/>
  <c r="G411" i="4"/>
  <c r="H411" i="4"/>
  <c r="C412" i="4"/>
  <c r="D412" i="4"/>
  <c r="E412" i="4"/>
  <c r="G10" i="4" a="1"/>
  <c r="G10" i="4" s="1"/>
  <c r="H11" i="4" a="1"/>
  <c r="H11" i="4" s="1"/>
  <c r="G12" i="4" a="1"/>
  <c r="G12" i="4" s="1"/>
  <c r="E13" i="4" a="1"/>
  <c r="E13" i="4" s="1"/>
  <c r="G13" i="4" a="1"/>
  <c r="G13" i="4" s="1"/>
  <c r="C14" i="4" a="1"/>
  <c r="C14" i="4" s="1"/>
  <c r="F14" i="4" a="1"/>
  <c r="F14" i="4" s="1"/>
  <c r="B20" i="4" a="1"/>
  <c r="B20" i="4" s="1"/>
  <c r="E21" i="4" a="1"/>
  <c r="E21" i="4" s="1"/>
  <c r="B22" i="4" a="1"/>
  <c r="B22" i="4" s="1"/>
  <c r="G22" i="4" a="1"/>
  <c r="G22" i="4" s="1"/>
  <c r="C23" i="4" a="1"/>
  <c r="C23" i="4" s="1"/>
  <c r="B29" i="4" a="1"/>
  <c r="B29" i="4" s="1"/>
  <c r="E310" i="4"/>
  <c r="G30" i="4" a="1"/>
  <c r="G30" i="4" s="1"/>
  <c r="B32" i="4" a="1"/>
  <c r="B32" i="4" s="1"/>
  <c r="F32" i="4" a="1"/>
  <c r="F32" i="4" s="1"/>
  <c r="C33" i="4" a="1"/>
  <c r="C33" i="4" s="1"/>
  <c r="G38" i="4" a="1"/>
  <c r="G38" i="4" s="1"/>
  <c r="H39" i="4" a="1"/>
  <c r="H39" i="4" s="1"/>
  <c r="G40" i="4" a="1"/>
  <c r="G40" i="4" s="1"/>
  <c r="E41" i="4" a="1"/>
  <c r="E41" i="4" s="1"/>
  <c r="B42" i="4" a="1"/>
  <c r="B42" i="4" s="1"/>
  <c r="F47" i="4" a="1"/>
  <c r="F47" i="4" s="1"/>
  <c r="G48" i="4" a="1"/>
  <c r="G48" i="4" s="1"/>
  <c r="H49" i="4" a="1"/>
  <c r="H49" i="4" s="1"/>
  <c r="E50" i="4" a="1"/>
  <c r="E50" i="4" s="1"/>
  <c r="B51" i="4" a="1"/>
  <c r="B51" i="4" s="1"/>
  <c r="F51" i="4" a="1"/>
  <c r="F51" i="4" s="1"/>
  <c r="H51" i="4" a="1"/>
  <c r="H51" i="4" s="1"/>
  <c r="G56" i="4" a="1"/>
  <c r="G56" i="4" s="1"/>
  <c r="G57" i="4" a="1"/>
  <c r="G57" i="4" s="1"/>
  <c r="C59" i="4" a="1"/>
  <c r="C59" i="4" s="1"/>
  <c r="G59" i="4" a="1"/>
  <c r="G59" i="4" s="1"/>
  <c r="G64" i="4" a="1"/>
  <c r="G64" i="4" s="1"/>
  <c r="G66" i="4" a="1"/>
  <c r="G66" i="4" s="1"/>
  <c r="D67" i="4" a="1"/>
  <c r="D67" i="4" s="1"/>
  <c r="G67" i="4" a="1"/>
  <c r="G67" i="4" s="1"/>
  <c r="D68" i="4" a="1"/>
  <c r="D68" i="4" s="1"/>
  <c r="H73" i="4" a="1"/>
  <c r="H73" i="4" s="1"/>
  <c r="H74" i="4" a="1"/>
  <c r="H74" i="4" s="1"/>
  <c r="H75" i="4" a="1"/>
  <c r="H75" i="4" s="1"/>
  <c r="B77" i="4" a="1"/>
  <c r="B77" i="4" s="1"/>
  <c r="F77" i="4" a="1"/>
  <c r="F77" i="4" s="1"/>
  <c r="B78" i="4" a="1"/>
  <c r="B78" i="4" s="1"/>
  <c r="C85" i="4" a="1"/>
  <c r="C85" i="4" s="1"/>
  <c r="G85" i="4" a="1"/>
  <c r="G85" i="4" s="1"/>
  <c r="C86" i="4" a="1"/>
  <c r="C86" i="4" s="1"/>
  <c r="G91" i="4" a="1"/>
  <c r="G91" i="4" s="1"/>
  <c r="G92" i="4" a="1"/>
  <c r="G92" i="4" s="1"/>
  <c r="H93" i="4" a="1"/>
  <c r="H93" i="4" s="1"/>
  <c r="D94" i="4" a="1"/>
  <c r="D94" i="4" s="1"/>
  <c r="H94" i="4" a="1"/>
  <c r="H94" i="4" s="1"/>
  <c r="D95" i="4" a="1"/>
  <c r="D95" i="4" s="1"/>
  <c r="H100" i="4" a="1"/>
  <c r="H100" i="4" s="1"/>
  <c r="E102" i="4" a="1"/>
  <c r="E102" i="4" s="1"/>
  <c r="H102" i="4" a="1"/>
  <c r="H102" i="4" s="1"/>
  <c r="B104" i="4" a="1"/>
  <c r="B104" i="4" s="1"/>
  <c r="G359" i="4"/>
  <c r="B360" i="4"/>
  <c r="E364" i="4"/>
  <c r="H364" i="4"/>
  <c r="H366" i="4"/>
  <c r="C367" i="4"/>
  <c r="F367" i="4"/>
  <c r="E368" i="4"/>
  <c r="H373" i="4"/>
  <c r="H375" i="4"/>
  <c r="F376" i="4"/>
  <c r="B377" i="4"/>
  <c r="H377" i="4"/>
  <c r="C382" i="4"/>
  <c r="H383" i="4"/>
  <c r="E385" i="4"/>
  <c r="G385" i="4"/>
  <c r="C386" i="4"/>
  <c r="H391" i="4"/>
  <c r="B393" i="4"/>
  <c r="G393" i="4"/>
  <c r="F394" i="4"/>
  <c r="B395" i="4"/>
  <c r="D395" i="4"/>
  <c r="F395" i="4"/>
  <c r="B401" i="4"/>
  <c r="H401" i="4"/>
  <c r="G402" i="4"/>
  <c r="F10" i="4" a="1"/>
  <c r="F10" i="4" s="1"/>
  <c r="G11" i="4" a="1"/>
  <c r="G11" i="4" s="1"/>
  <c r="H20" i="4" a="1"/>
  <c r="H20" i="4" s="1"/>
  <c r="C22" i="4" a="1"/>
  <c r="C22" i="4" s="1"/>
  <c r="H22" i="4" a="1"/>
  <c r="H22" i="4" s="1"/>
  <c r="D23" i="4" a="1"/>
  <c r="D23" i="4" s="1"/>
  <c r="G23" i="4" a="1"/>
  <c r="G23" i="4" s="1"/>
  <c r="G29" i="4" a="1"/>
  <c r="G29" i="4" s="1"/>
  <c r="H30" i="4" a="1"/>
  <c r="H30" i="4" s="1"/>
  <c r="G31" i="4" a="1"/>
  <c r="G31" i="4" s="1"/>
  <c r="C32" i="4" a="1"/>
  <c r="C32" i="4" s="1"/>
  <c r="G32" i="4" a="1"/>
  <c r="G32" i="4" s="1"/>
  <c r="D38" i="4" a="1"/>
  <c r="D38" i="4" s="1"/>
  <c r="H38" i="4" a="1"/>
  <c r="H38" i="4" s="1"/>
  <c r="C41" i="4" a="1"/>
  <c r="C41" i="4" s="1"/>
  <c r="G41" i="4" a="1"/>
  <c r="G41" i="4" s="1"/>
  <c r="H41" i="4" a="1"/>
  <c r="H41" i="4" s="1"/>
  <c r="E42" i="4" a="1"/>
  <c r="E42" i="4" s="1"/>
  <c r="H48" i="4" a="1"/>
  <c r="H48" i="4" s="1"/>
  <c r="F50" i="4" a="1"/>
  <c r="F50" i="4" s="1"/>
  <c r="C51" i="4" a="1"/>
  <c r="C51" i="4" s="1"/>
  <c r="G51" i="4" a="1"/>
  <c r="G51" i="4" s="1"/>
  <c r="F57" i="4" a="1"/>
  <c r="F57" i="4" s="1"/>
  <c r="F59" i="4" a="1"/>
  <c r="F59" i="4" s="1"/>
  <c r="H59" i="4" a="1"/>
  <c r="H59" i="4" s="1"/>
  <c r="E64" i="4" a="1"/>
  <c r="E64" i="4" s="1"/>
  <c r="G65" i="4" a="1"/>
  <c r="G65" i="4" s="1"/>
  <c r="F67" i="4" a="1"/>
  <c r="F67" i="4" s="1"/>
  <c r="C68" i="4" a="1"/>
  <c r="C68" i="4" s="1"/>
  <c r="G75" i="4" a="1"/>
  <c r="G75" i="4" s="1"/>
  <c r="G76" i="4" a="1"/>
  <c r="G76" i="4" s="1"/>
  <c r="C77" i="4" a="1"/>
  <c r="C77" i="4" s="1"/>
  <c r="G77" i="4" a="1"/>
  <c r="G77" i="4" s="1"/>
  <c r="D82" i="4" a="1"/>
  <c r="D82" i="4" s="1"/>
  <c r="G82" i="4" a="1"/>
  <c r="G82" i="4" s="1"/>
  <c r="H83" i="4" a="1"/>
  <c r="H83" i="4" s="1"/>
  <c r="H84" i="4" a="1"/>
  <c r="H84" i="4" s="1"/>
  <c r="E85" i="4" a="1"/>
  <c r="E85" i="4" s="1"/>
  <c r="H85" i="4" a="1"/>
  <c r="H85" i="4" s="1"/>
  <c r="E91" i="4" a="1"/>
  <c r="E91" i="4" s="1"/>
  <c r="B93" i="4" a="1"/>
  <c r="B93" i="4" s="1"/>
  <c r="F94" i="4" a="1"/>
  <c r="F94" i="4" s="1"/>
  <c r="C95" i="4" a="1"/>
  <c r="C95" i="4" s="1"/>
  <c r="G95" i="4" a="1"/>
  <c r="G95" i="4" s="1"/>
  <c r="G101" i="4" a="1"/>
  <c r="G101" i="4" s="1"/>
  <c r="G102" i="4" a="1"/>
  <c r="G102" i="4" s="1"/>
  <c r="D103" i="4" a="1"/>
  <c r="D103" i="4" s="1"/>
  <c r="H103" i="4" a="1"/>
  <c r="H103" i="4" s="1"/>
  <c r="E104" i="4" a="1"/>
  <c r="E104" i="4" s="1"/>
  <c r="H359" i="4"/>
  <c r="D364" i="4"/>
  <c r="E365" i="4"/>
  <c r="H365" i="4"/>
  <c r="E367" i="4"/>
  <c r="H367" i="4"/>
  <c r="D368" i="4"/>
  <c r="H374" i="4"/>
  <c r="B376" i="4"/>
  <c r="H376" i="4"/>
  <c r="G49" i="4" a="1"/>
  <c r="G49" i="4" s="1"/>
  <c r="E413" i="4"/>
  <c r="D413" i="4"/>
  <c r="C413" i="4"/>
  <c r="B413" i="4"/>
  <c r="H412" i="4"/>
  <c r="G412" i="4"/>
  <c r="C333" i="4"/>
  <c r="B333" i="4"/>
  <c r="H332" i="4"/>
  <c r="F350" i="4"/>
  <c r="E350" i="4"/>
  <c r="F359" i="4"/>
  <c r="E359" i="4"/>
  <c r="D359" i="4"/>
  <c r="C359" i="4"/>
  <c r="H358" i="4"/>
  <c r="G358" i="4"/>
  <c r="B358" i="4"/>
  <c r="C356" i="4"/>
  <c r="H357" i="4"/>
  <c r="B356" i="4"/>
  <c r="G357" i="4"/>
  <c r="H351" i="4"/>
  <c r="F357" i="4"/>
  <c r="G351" i="4"/>
  <c r="F351" i="4"/>
  <c r="E351" i="4"/>
  <c r="H356" i="4"/>
  <c r="D351" i="4"/>
  <c r="G356" i="4"/>
  <c r="C351" i="4"/>
  <c r="B351" i="4"/>
  <c r="H349" i="4"/>
  <c r="G349" i="4"/>
  <c r="H350" i="4"/>
  <c r="C349" i="4"/>
  <c r="H348" i="4"/>
  <c r="G348" i="4"/>
  <c r="G350" i="4"/>
  <c r="H347" i="4"/>
  <c r="G347" i="4"/>
  <c r="F347" i="4"/>
  <c r="E342" i="4"/>
  <c r="D342" i="4"/>
  <c r="C342" i="4"/>
  <c r="B342" i="4"/>
  <c r="H341" i="4"/>
  <c r="G341" i="4"/>
  <c r="F341" i="4"/>
  <c r="E341" i="4"/>
  <c r="D341" i="4"/>
  <c r="C341" i="4"/>
  <c r="H340" i="4"/>
  <c r="G340" i="4"/>
  <c r="H339" i="4"/>
  <c r="G339" i="4"/>
  <c r="H338" i="4"/>
  <c r="G338" i="4"/>
  <c r="F338" i="4"/>
  <c r="E338" i="4"/>
  <c r="D338" i="4"/>
  <c r="M55" i="5"/>
  <c r="M56" i="5"/>
  <c r="M57" i="5"/>
  <c r="M58" i="5"/>
  <c r="M59" i="5"/>
  <c r="M60" i="5"/>
  <c r="M61" i="5"/>
  <c r="M159" i="5"/>
  <c r="M62" i="5"/>
  <c r="M63" i="5"/>
  <c r="M64" i="5"/>
  <c r="M241" i="5"/>
  <c r="M65" i="5"/>
  <c r="M242" i="5"/>
  <c r="M66" i="5"/>
  <c r="M243" i="5"/>
  <c r="M67" i="5"/>
  <c r="M244" i="5"/>
  <c r="M68" i="5"/>
  <c r="M245" i="5"/>
  <c r="M69" i="5"/>
  <c r="M246" i="5"/>
  <c r="M70" i="5"/>
  <c r="M247" i="5"/>
  <c r="M71" i="5"/>
  <c r="M248" i="5"/>
  <c r="M72" i="5"/>
  <c r="M249" i="5"/>
  <c r="M73" i="5"/>
  <c r="M250" i="5"/>
  <c r="M74" i="5"/>
  <c r="M251" i="5"/>
  <c r="M252" i="5"/>
  <c r="M253" i="5"/>
  <c r="M254" i="5"/>
  <c r="M255" i="5"/>
  <c r="M256" i="5"/>
  <c r="M81" i="5"/>
  <c r="M82" i="5"/>
  <c r="M83" i="5"/>
  <c r="M84" i="5"/>
  <c r="M85" i="5"/>
  <c r="M87" i="5"/>
  <c r="M88" i="5"/>
  <c r="M89" i="5"/>
  <c r="M90" i="5"/>
  <c r="M91" i="5"/>
  <c r="M92" i="5"/>
  <c r="M93" i="5"/>
  <c r="M94" i="5"/>
  <c r="M95" i="5"/>
  <c r="M96" i="5"/>
  <c r="M97" i="5"/>
  <c r="M86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98" i="5"/>
  <c r="C339" i="4" s="1"/>
  <c r="M99" i="5"/>
  <c r="D339" i="4" s="1"/>
  <c r="M100" i="5"/>
  <c r="M101" i="5"/>
  <c r="M102" i="5"/>
  <c r="M103" i="5"/>
  <c r="M104" i="5"/>
  <c r="M105" i="5"/>
  <c r="M106" i="5"/>
  <c r="C340" i="4" s="1"/>
  <c r="M107" i="5"/>
  <c r="M108" i="5"/>
  <c r="M186" i="5"/>
  <c r="M109" i="5"/>
  <c r="M110" i="5"/>
  <c r="E340" i="4" s="1"/>
  <c r="M111" i="5"/>
  <c r="F340" i="4" s="1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D348" i="4" s="1"/>
  <c r="M129" i="5"/>
  <c r="E348" i="4" s="1"/>
  <c r="M130" i="5"/>
  <c r="F348" i="4" s="1"/>
  <c r="M131" i="5"/>
  <c r="M132" i="5"/>
  <c r="M133" i="5"/>
  <c r="M134" i="5"/>
  <c r="M135" i="5"/>
  <c r="M136" i="5"/>
  <c r="D349" i="4" s="1"/>
  <c r="M137" i="5"/>
  <c r="E349" i="4" s="1"/>
  <c r="M138" i="5"/>
  <c r="M139" i="5"/>
  <c r="M140" i="5"/>
  <c r="M141" i="5"/>
  <c r="M142" i="5"/>
  <c r="M143" i="5"/>
  <c r="M144" i="5"/>
  <c r="M145" i="5"/>
  <c r="M146" i="5"/>
  <c r="M147" i="5"/>
  <c r="M148" i="5"/>
  <c r="M52" i="5"/>
  <c r="M150" i="5"/>
  <c r="M151" i="5"/>
  <c r="M152" i="5"/>
  <c r="M153" i="5"/>
  <c r="M154" i="5"/>
  <c r="D356" i="4" s="1"/>
  <c r="M155" i="5"/>
  <c r="M156" i="5"/>
  <c r="M157" i="5"/>
  <c r="M158" i="5"/>
  <c r="M160" i="5"/>
  <c r="M161" i="5"/>
  <c r="M162" i="5"/>
  <c r="M163" i="5"/>
  <c r="M164" i="5"/>
  <c r="M165" i="5"/>
  <c r="M166" i="5"/>
  <c r="E357" i="4" s="1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149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75" i="5"/>
  <c r="M239" i="5"/>
  <c r="M76" i="5"/>
  <c r="M240" i="5"/>
  <c r="M77" i="5"/>
  <c r="M2" i="5"/>
  <c r="M78" i="5"/>
  <c r="M53" i="5"/>
  <c r="M79" i="5"/>
  <c r="M3" i="5"/>
  <c r="M80" i="5"/>
  <c r="M54" i="5"/>
  <c r="M201" i="5"/>
  <c r="E358" i="4" l="1"/>
  <c r="C384" i="4"/>
  <c r="E383" i="4"/>
  <c r="R313" i="5"/>
  <c r="S313" i="5" s="1"/>
  <c r="R376" i="5"/>
  <c r="S376" i="5" s="1"/>
  <c r="C350" i="4"/>
  <c r="E356" i="4"/>
  <c r="C357" i="4"/>
  <c r="D357" i="4"/>
  <c r="C358" i="4"/>
  <c r="D358" i="4"/>
  <c r="F358" i="4"/>
  <c r="B359" i="4"/>
  <c r="D350" i="4"/>
  <c r="R258" i="5"/>
  <c r="S258" i="5" s="1"/>
  <c r="N259" i="5"/>
  <c r="R259" i="5"/>
  <c r="S259" i="5"/>
  <c r="D402" i="4"/>
  <c r="S327" i="5"/>
  <c r="R327" i="5"/>
  <c r="N327" i="5"/>
  <c r="D102" i="4" a="1"/>
  <c r="D102" i="4" s="1"/>
  <c r="R325" i="5"/>
  <c r="S325" i="5" s="1"/>
  <c r="C402" i="4"/>
  <c r="N324" i="5"/>
  <c r="S324" i="5"/>
  <c r="R324" i="5"/>
  <c r="N323" i="5"/>
  <c r="S323" i="5"/>
  <c r="R323" i="5"/>
  <c r="S293" i="5"/>
  <c r="N293" i="5"/>
  <c r="R293" i="5"/>
  <c r="N292" i="5"/>
  <c r="S292" i="5"/>
  <c r="R292" i="5"/>
  <c r="F92" i="4" a="1"/>
  <c r="F92" i="4" s="1"/>
  <c r="F392" i="4"/>
  <c r="R290" i="5"/>
  <c r="N290" i="5"/>
  <c r="D92" i="4" a="1"/>
  <c r="D92" i="4" s="1"/>
  <c r="D392" i="4"/>
  <c r="S290" i="5"/>
  <c r="S285" i="5"/>
  <c r="R285" i="5"/>
  <c r="E84" i="4" a="1"/>
  <c r="E84" i="4" s="1"/>
  <c r="E384" i="4"/>
  <c r="F383" i="4"/>
  <c r="F83" i="4" a="1"/>
  <c r="F83" i="4" s="1"/>
  <c r="D383" i="4"/>
  <c r="D83" i="4" a="1"/>
  <c r="D83" i="4" s="1"/>
  <c r="R321" i="5"/>
  <c r="B402" i="4"/>
  <c r="S321" i="5"/>
  <c r="N321" i="5"/>
  <c r="F401" i="4"/>
  <c r="F101" i="4" a="1"/>
  <c r="F101" i="4" s="1"/>
  <c r="S320" i="5"/>
  <c r="R320" i="5"/>
  <c r="N320" i="5"/>
  <c r="E401" i="4"/>
  <c r="R318" i="5"/>
  <c r="N318" i="5"/>
  <c r="S318" i="5"/>
  <c r="S317" i="5"/>
  <c r="R317" i="5"/>
  <c r="N317" i="5"/>
  <c r="D401" i="4"/>
  <c r="R316" i="5"/>
  <c r="S316" i="5" s="1"/>
  <c r="C101" i="4" a="1"/>
  <c r="C101" i="4" s="1"/>
  <c r="N315" i="5"/>
  <c r="R315" i="5"/>
  <c r="S315" i="5"/>
  <c r="C401" i="4"/>
  <c r="N314" i="5"/>
  <c r="S314" i="5"/>
  <c r="R314" i="5"/>
  <c r="N312" i="5"/>
  <c r="S312" i="5"/>
  <c r="R312" i="5"/>
  <c r="N311" i="5"/>
  <c r="S311" i="5"/>
  <c r="R311" i="5"/>
  <c r="N310" i="5"/>
  <c r="S310" i="5"/>
  <c r="R310" i="5"/>
  <c r="C394" i="4"/>
  <c r="N309" i="5"/>
  <c r="R309" i="5"/>
  <c r="S309" i="5"/>
  <c r="S307" i="5"/>
  <c r="R307" i="5"/>
  <c r="N307" i="5"/>
  <c r="S305" i="5"/>
  <c r="N305" i="5"/>
  <c r="R305" i="5"/>
  <c r="B394" i="4"/>
  <c r="N303" i="5"/>
  <c r="S303" i="5"/>
  <c r="R303" i="5"/>
  <c r="F393" i="4"/>
  <c r="R302" i="5"/>
  <c r="S302" i="5" s="1"/>
  <c r="S301" i="5"/>
  <c r="R301" i="5"/>
  <c r="N301" i="5"/>
  <c r="N300" i="5"/>
  <c r="S300" i="5"/>
  <c r="R300" i="5"/>
  <c r="R299" i="5"/>
  <c r="S299" i="5" s="1"/>
  <c r="E393" i="4"/>
  <c r="R298" i="5"/>
  <c r="S298" i="5" s="1"/>
  <c r="D393" i="4"/>
  <c r="N297" i="5"/>
  <c r="R297" i="5"/>
  <c r="S297" i="5"/>
  <c r="S296" i="5"/>
  <c r="N296" i="5"/>
  <c r="R296" i="5"/>
  <c r="R294" i="5"/>
  <c r="S294" i="5" s="1"/>
  <c r="C393" i="4"/>
  <c r="R291" i="5"/>
  <c r="S291" i="5" s="1"/>
  <c r="E392" i="4"/>
  <c r="N289" i="5"/>
  <c r="R289" i="5"/>
  <c r="S289" i="5"/>
  <c r="C392" i="4"/>
  <c r="C92" i="4" a="1"/>
  <c r="C92" i="4" s="1"/>
  <c r="S287" i="5"/>
  <c r="N287" i="5"/>
  <c r="R287" i="5"/>
  <c r="N286" i="5"/>
  <c r="R286" i="5"/>
  <c r="S286" i="5"/>
  <c r="R277" i="5"/>
  <c r="S277" i="5" s="1"/>
  <c r="B385" i="4"/>
  <c r="F384" i="4"/>
  <c r="F84" i="4" a="1"/>
  <c r="F84" i="4" s="1"/>
  <c r="B384" i="4"/>
  <c r="B84" i="4" a="1"/>
  <c r="B84" i="4" s="1"/>
  <c r="R260" i="5"/>
  <c r="S260" i="5" s="1"/>
  <c r="C383" i="4"/>
  <c r="R257" i="5"/>
  <c r="N257" i="5"/>
  <c r="S257" i="5"/>
  <c r="S375" i="5"/>
  <c r="R375" i="5"/>
  <c r="N375" i="5"/>
  <c r="S373" i="5"/>
  <c r="R373" i="5"/>
  <c r="N373" i="5"/>
  <c r="S371" i="5"/>
  <c r="R371" i="5"/>
  <c r="N371" i="5"/>
  <c r="B412" i="4"/>
  <c r="R370" i="5"/>
  <c r="S370" i="5" s="1"/>
  <c r="N369" i="5"/>
  <c r="S369" i="5"/>
  <c r="R369" i="5"/>
  <c r="S368" i="5"/>
  <c r="N368" i="5"/>
  <c r="R368" i="5"/>
  <c r="N367" i="5"/>
  <c r="R367" i="5"/>
  <c r="S367" i="5"/>
  <c r="F111" i="4" a="1"/>
  <c r="F111" i="4" s="1"/>
  <c r="F411" i="4"/>
  <c r="R366" i="5"/>
  <c r="S366" i="5"/>
  <c r="N366" i="5"/>
  <c r="S365" i="5"/>
  <c r="E111" i="4" a="1"/>
  <c r="E111" i="4" s="1"/>
  <c r="N365" i="5"/>
  <c r="E411" i="4"/>
  <c r="R365" i="5"/>
  <c r="R363" i="5"/>
  <c r="S363" i="5"/>
  <c r="D411" i="4"/>
  <c r="N363" i="5"/>
  <c r="C411" i="4"/>
  <c r="N362" i="5"/>
  <c r="R362" i="5"/>
  <c r="S362" i="5"/>
  <c r="S359" i="5"/>
  <c r="R359" i="5"/>
  <c r="S358" i="5"/>
  <c r="R358" i="5"/>
  <c r="N358" i="5"/>
  <c r="R330" i="5"/>
  <c r="S330" i="5" s="1"/>
  <c r="B403" i="4"/>
  <c r="S357" i="5"/>
  <c r="R345" i="5"/>
  <c r="S345" i="5" s="1"/>
  <c r="R331" i="5"/>
  <c r="S331" i="5" s="1"/>
  <c r="B339" i="4"/>
  <c r="E339" i="4"/>
  <c r="F339" i="4"/>
  <c r="B340" i="4"/>
  <c r="D340" i="4"/>
  <c r="B341" i="4"/>
  <c r="B348" i="4"/>
  <c r="R332" i="5"/>
  <c r="S332" i="5" s="1"/>
  <c r="N278" i="5"/>
  <c r="S278" i="5"/>
  <c r="R278" i="5"/>
  <c r="S276" i="5"/>
  <c r="R276" i="5"/>
  <c r="N276" i="5"/>
  <c r="S274" i="5"/>
  <c r="R274" i="5"/>
  <c r="N274" i="5"/>
  <c r="N272" i="5"/>
  <c r="S272" i="5"/>
  <c r="R272" i="5"/>
  <c r="S269" i="5"/>
  <c r="N269" i="5"/>
  <c r="R269" i="5"/>
  <c r="R267" i="5"/>
  <c r="S267" i="5" s="1"/>
  <c r="N265" i="5"/>
  <c r="R265" i="5"/>
  <c r="S265" i="5"/>
  <c r="R263" i="5"/>
  <c r="S263" i="5" s="1"/>
  <c r="S261" i="5"/>
  <c r="N261" i="5"/>
  <c r="R261" i="5"/>
  <c r="C14" i="6"/>
  <c r="S284" i="5"/>
  <c r="N284" i="5"/>
  <c r="R284" i="5"/>
  <c r="D14" i="6"/>
  <c r="E14" i="6"/>
  <c r="B14" i="6"/>
  <c r="F14" i="6"/>
  <c r="R283" i="5"/>
  <c r="S283" i="5"/>
  <c r="N282" i="5"/>
  <c r="R282" i="5"/>
  <c r="S282" i="5"/>
  <c r="N280" i="5"/>
  <c r="S280" i="5"/>
  <c r="R280" i="5"/>
  <c r="R279" i="5"/>
  <c r="S279" i="5"/>
  <c r="N275" i="5"/>
  <c r="S275" i="5"/>
  <c r="R275" i="5"/>
  <c r="N273" i="5"/>
  <c r="S273" i="5"/>
  <c r="R273" i="5"/>
  <c r="R271" i="5"/>
  <c r="S271" i="5"/>
  <c r="S270" i="5"/>
  <c r="R270" i="5"/>
  <c r="N270" i="5"/>
  <c r="R268" i="5"/>
  <c r="S268" i="5" s="1"/>
  <c r="R266" i="5"/>
  <c r="N266" i="5"/>
  <c r="S266" i="5"/>
  <c r="N262" i="5"/>
  <c r="S262" i="5"/>
  <c r="R262" i="5"/>
  <c r="D16" i="6"/>
  <c r="E16" i="6"/>
  <c r="F16" i="6"/>
  <c r="B357" i="4"/>
  <c r="C348" i="4"/>
  <c r="B349" i="4"/>
  <c r="F349" i="4"/>
  <c r="B350" i="4"/>
  <c r="F356" i="4"/>
  <c r="N355" i="5"/>
  <c r="S355" i="5"/>
  <c r="R355" i="5"/>
  <c r="N354" i="5"/>
  <c r="R354" i="5"/>
  <c r="S354" i="5"/>
  <c r="S352" i="5"/>
  <c r="R352" i="5"/>
  <c r="N352" i="5"/>
  <c r="S350" i="5"/>
  <c r="R350" i="5"/>
  <c r="N350" i="5"/>
  <c r="R349" i="5"/>
  <c r="S349" i="5"/>
  <c r="N349" i="5"/>
  <c r="N348" i="5"/>
  <c r="S348" i="5"/>
  <c r="R348" i="5"/>
  <c r="N346" i="5"/>
  <c r="B16" i="6"/>
  <c r="R346" i="5"/>
  <c r="S346" i="5"/>
  <c r="C16" i="6"/>
  <c r="N344" i="5"/>
  <c r="R344" i="5"/>
  <c r="S344" i="5"/>
  <c r="S343" i="5"/>
  <c r="R343" i="5"/>
  <c r="N343" i="5"/>
  <c r="N342" i="5"/>
  <c r="S342" i="5"/>
  <c r="R342" i="5"/>
  <c r="R341" i="5"/>
  <c r="S341" i="5"/>
  <c r="N338" i="5"/>
  <c r="R338" i="5"/>
  <c r="S338" i="5"/>
  <c r="N337" i="5"/>
  <c r="R337" i="5"/>
  <c r="S337" i="5"/>
  <c r="N336" i="5"/>
  <c r="S336" i="5"/>
  <c r="R336" i="5"/>
  <c r="S335" i="5"/>
  <c r="R335" i="5"/>
  <c r="N335" i="5"/>
  <c r="S334" i="5"/>
  <c r="R334" i="5"/>
  <c r="N334" i="5"/>
  <c r="R333" i="5"/>
  <c r="N333" i="5"/>
  <c r="S333" i="5"/>
  <c r="S329" i="5"/>
  <c r="N329" i="5"/>
  <c r="R329" i="5"/>
  <c r="N328" i="5"/>
  <c r="R328" i="5"/>
  <c r="S328" i="5"/>
  <c r="B15" i="6"/>
  <c r="D15" i="6"/>
  <c r="C15" i="6"/>
  <c r="E15" i="6"/>
  <c r="F15" i="6"/>
  <c r="N55" i="5"/>
  <c r="R55" i="5"/>
  <c r="S55" i="5"/>
  <c r="N56" i="5"/>
  <c r="R56" i="5"/>
  <c r="S56" i="5"/>
  <c r="N57" i="5"/>
  <c r="R57" i="5"/>
  <c r="S57" i="5"/>
  <c r="N58" i="5"/>
  <c r="R58" i="5"/>
  <c r="S58" i="5"/>
  <c r="N59" i="5"/>
  <c r="R59" i="5"/>
  <c r="S59" i="5"/>
  <c r="N60" i="5"/>
  <c r="R60" i="5"/>
  <c r="S60" i="5"/>
  <c r="N61" i="5"/>
  <c r="R61" i="5"/>
  <c r="S61" i="5"/>
  <c r="B7" i="6"/>
  <c r="E7" i="6"/>
  <c r="C29" i="4" a="1"/>
  <c r="C29" i="4" s="1"/>
  <c r="C329" i="4"/>
  <c r="C7" i="6"/>
  <c r="F7" i="6"/>
  <c r="D7" i="6"/>
  <c r="N159" i="5"/>
  <c r="R159" i="5"/>
  <c r="S159" i="5"/>
  <c r="N62" i="5"/>
  <c r="R62" i="5"/>
  <c r="S62" i="5"/>
  <c r="D329" i="4"/>
  <c r="N63" i="5"/>
  <c r="R63" i="5"/>
  <c r="S63" i="5"/>
  <c r="N64" i="5"/>
  <c r="R64" i="5"/>
  <c r="S64" i="5"/>
  <c r="E329" i="4"/>
  <c r="N241" i="5"/>
  <c r="R241" i="5"/>
  <c r="S241" i="5"/>
  <c r="N65" i="5"/>
  <c r="R65" i="5"/>
  <c r="S65" i="5" s="1"/>
  <c r="N242" i="5"/>
  <c r="R242" i="5"/>
  <c r="S242" i="5"/>
  <c r="N66" i="5"/>
  <c r="R66" i="5"/>
  <c r="S66" i="5"/>
  <c r="F329" i="4"/>
  <c r="F29" i="4" a="1"/>
  <c r="F29" i="4" s="1"/>
  <c r="N243" i="5"/>
  <c r="R243" i="5"/>
  <c r="S243" i="5"/>
  <c r="D376" i="4"/>
  <c r="N67" i="5"/>
  <c r="R67" i="5"/>
  <c r="S67" i="5"/>
  <c r="B330" i="4"/>
  <c r="N244" i="5"/>
  <c r="R244" i="5"/>
  <c r="S244" i="5" s="1"/>
  <c r="N68" i="5"/>
  <c r="R68" i="5"/>
  <c r="S68" i="5"/>
  <c r="N245" i="5"/>
  <c r="R245" i="5"/>
  <c r="S245" i="5" s="1"/>
  <c r="N69" i="5"/>
  <c r="R69" i="5"/>
  <c r="S69" i="5"/>
  <c r="N246" i="5"/>
  <c r="R246" i="5"/>
  <c r="S246" i="5"/>
  <c r="N70" i="5"/>
  <c r="R70" i="5"/>
  <c r="S70" i="5"/>
  <c r="N247" i="5"/>
  <c r="R247" i="5"/>
  <c r="S247" i="5"/>
  <c r="E376" i="4"/>
  <c r="N71" i="5"/>
  <c r="R71" i="5"/>
  <c r="S71" i="5" s="1"/>
  <c r="C330" i="4"/>
  <c r="N248" i="5"/>
  <c r="R248" i="5"/>
  <c r="S248" i="5"/>
  <c r="N72" i="5"/>
  <c r="R72" i="5"/>
  <c r="S72" i="5"/>
  <c r="N249" i="5"/>
  <c r="R249" i="5"/>
  <c r="S249" i="5"/>
  <c r="N73" i="5"/>
  <c r="R73" i="5"/>
  <c r="S73" i="5"/>
  <c r="D330" i="4"/>
  <c r="D30" i="4" a="1"/>
  <c r="D30" i="4" s="1"/>
  <c r="N250" i="5"/>
  <c r="R250" i="5"/>
  <c r="S250" i="5"/>
  <c r="N74" i="5"/>
  <c r="R74" i="5"/>
  <c r="S74" i="5"/>
  <c r="F330" i="4"/>
  <c r="F30" i="4" a="1"/>
  <c r="F30" i="4" s="1"/>
  <c r="N251" i="5"/>
  <c r="R251" i="5"/>
  <c r="S251" i="5"/>
  <c r="N252" i="5"/>
  <c r="R252" i="5"/>
  <c r="S252" i="5" s="1"/>
  <c r="E377" i="4"/>
  <c r="N253" i="5"/>
  <c r="R253" i="5"/>
  <c r="S253" i="5"/>
  <c r="D13" i="6"/>
  <c r="B13" i="6"/>
  <c r="E13" i="6"/>
  <c r="E82" i="4" a="1"/>
  <c r="E82" i="4" s="1"/>
  <c r="C13" i="6"/>
  <c r="F13" i="6"/>
  <c r="E382" i="4"/>
  <c r="N254" i="5"/>
  <c r="R254" i="5"/>
  <c r="S254" i="5"/>
  <c r="F382" i="4"/>
  <c r="N255" i="5"/>
  <c r="R255" i="5"/>
  <c r="S255" i="5"/>
  <c r="N256" i="5"/>
  <c r="R256" i="5"/>
  <c r="S256" i="5"/>
  <c r="B383" i="4"/>
  <c r="N81" i="5"/>
  <c r="R81" i="5"/>
  <c r="S81" i="5"/>
  <c r="D31" i="4" a="1"/>
  <c r="D31" i="4" s="1"/>
  <c r="D331" i="4"/>
  <c r="N82" i="5"/>
  <c r="R82" i="5"/>
  <c r="S82" i="5"/>
  <c r="N83" i="5"/>
  <c r="R83" i="5"/>
  <c r="S83" i="5"/>
  <c r="N84" i="5"/>
  <c r="R84" i="5"/>
  <c r="S84" i="5"/>
  <c r="N85" i="5"/>
  <c r="R85" i="5"/>
  <c r="S85" i="5" s="1"/>
  <c r="E331" i="4"/>
  <c r="N87" i="5"/>
  <c r="R87" i="5"/>
  <c r="S87" i="5" s="1"/>
  <c r="N88" i="5"/>
  <c r="R88" i="5"/>
  <c r="S88" i="5"/>
  <c r="F331" i="4"/>
  <c r="N89" i="5"/>
  <c r="R89" i="5"/>
  <c r="S89" i="5"/>
  <c r="N90" i="5"/>
  <c r="R90" i="5"/>
  <c r="S90" i="5"/>
  <c r="N91" i="5"/>
  <c r="R91" i="5"/>
  <c r="S91" i="5" s="1"/>
  <c r="N92" i="5"/>
  <c r="R92" i="5"/>
  <c r="S92" i="5"/>
  <c r="C8" i="6"/>
  <c r="F8" i="6"/>
  <c r="D8" i="6"/>
  <c r="B8" i="6"/>
  <c r="E8" i="6"/>
  <c r="N93" i="5"/>
  <c r="R93" i="5"/>
  <c r="S93" i="5"/>
  <c r="N94" i="5"/>
  <c r="R94" i="5"/>
  <c r="S94" i="5"/>
  <c r="N95" i="5"/>
  <c r="R95" i="5"/>
  <c r="S95" i="5"/>
  <c r="N96" i="5"/>
  <c r="R96" i="5"/>
  <c r="S96" i="5"/>
  <c r="N97" i="5"/>
  <c r="R97" i="5"/>
  <c r="S97" i="5"/>
  <c r="N86" i="5"/>
  <c r="R86" i="5"/>
  <c r="S86" i="5"/>
  <c r="N4" i="5"/>
  <c r="R4" i="5"/>
  <c r="S4" i="5"/>
  <c r="N5" i="5"/>
  <c r="R5" i="5"/>
  <c r="S5" i="5"/>
  <c r="N6" i="5"/>
  <c r="R6" i="5"/>
  <c r="S6" i="5"/>
  <c r="N7" i="5"/>
  <c r="R7" i="5"/>
  <c r="S7" i="5"/>
  <c r="C311" i="4"/>
  <c r="C11" i="4" a="1"/>
  <c r="C11" i="4" s="1"/>
  <c r="N8" i="5"/>
  <c r="R8" i="5"/>
  <c r="S8" i="5"/>
  <c r="D311" i="4"/>
  <c r="D11" i="4" a="1"/>
  <c r="D11" i="4" s="1"/>
  <c r="N9" i="5"/>
  <c r="R9" i="5"/>
  <c r="S9" i="5"/>
  <c r="E311" i="4"/>
  <c r="N10" i="5"/>
  <c r="R10" i="5"/>
  <c r="S10" i="5"/>
  <c r="F311" i="4"/>
  <c r="F11" i="4" a="1"/>
  <c r="F11" i="4" s="1"/>
  <c r="N11" i="5"/>
  <c r="R11" i="5"/>
  <c r="S11" i="5"/>
  <c r="N12" i="5"/>
  <c r="R12" i="5"/>
  <c r="S12" i="5"/>
  <c r="B312" i="4"/>
  <c r="N13" i="5"/>
  <c r="R13" i="5"/>
  <c r="S13" i="5"/>
  <c r="N14" i="5"/>
  <c r="R14" i="5"/>
  <c r="S14" i="5"/>
  <c r="N15" i="5"/>
  <c r="R15" i="5"/>
  <c r="S15" i="5"/>
  <c r="C312" i="4"/>
  <c r="C12" i="4" a="1"/>
  <c r="C12" i="4" s="1"/>
  <c r="N16" i="5"/>
  <c r="R16" i="5"/>
  <c r="S16" i="5"/>
  <c r="D312" i="4"/>
  <c r="N17" i="5"/>
  <c r="R17" i="5"/>
  <c r="S17" i="5" s="1"/>
  <c r="E312" i="4"/>
  <c r="N18" i="5"/>
  <c r="R18" i="5"/>
  <c r="S18" i="5"/>
  <c r="N19" i="5"/>
  <c r="R19" i="5"/>
  <c r="S19" i="5"/>
  <c r="B313" i="4"/>
  <c r="N20" i="5"/>
  <c r="R20" i="5"/>
  <c r="S20" i="5"/>
  <c r="N21" i="5"/>
  <c r="R21" i="5"/>
  <c r="S21" i="5"/>
  <c r="N22" i="5"/>
  <c r="R22" i="5"/>
  <c r="S22" i="5"/>
  <c r="N23" i="5"/>
  <c r="R23" i="5"/>
  <c r="S23" i="5"/>
  <c r="N24" i="5"/>
  <c r="R24" i="5"/>
  <c r="S24" i="5"/>
  <c r="N25" i="5"/>
  <c r="R25" i="5"/>
  <c r="S25" i="5"/>
  <c r="C313" i="4"/>
  <c r="N26" i="5"/>
  <c r="R26" i="5"/>
  <c r="S26" i="5"/>
  <c r="N27" i="5"/>
  <c r="R27" i="5"/>
  <c r="S27" i="5"/>
  <c r="N28" i="5"/>
  <c r="R28" i="5"/>
  <c r="S28" i="5" s="1"/>
  <c r="N29" i="5"/>
  <c r="R29" i="5"/>
  <c r="S29" i="5"/>
  <c r="C6" i="6"/>
  <c r="C20" i="4" a="1"/>
  <c r="C20" i="4" s="1"/>
  <c r="C320" i="4"/>
  <c r="D6" i="6"/>
  <c r="B6" i="6"/>
  <c r="E6" i="6"/>
  <c r="F6" i="6"/>
  <c r="N30" i="5"/>
  <c r="R30" i="5"/>
  <c r="S30" i="5" s="1"/>
  <c r="D320" i="4"/>
  <c r="N31" i="5"/>
  <c r="R31" i="5"/>
  <c r="S31" i="5"/>
  <c r="N32" i="5"/>
  <c r="R32" i="5"/>
  <c r="S32" i="5"/>
  <c r="E320" i="4"/>
  <c r="N33" i="5"/>
  <c r="R33" i="5"/>
  <c r="S33" i="5" s="1"/>
  <c r="N34" i="5"/>
  <c r="R34" i="5"/>
  <c r="S34" i="5" s="1"/>
  <c r="N35" i="5"/>
  <c r="R35" i="5"/>
  <c r="S35" i="5"/>
  <c r="F20" i="4" a="1"/>
  <c r="F20" i="4" s="1"/>
  <c r="F320" i="4"/>
  <c r="N36" i="5"/>
  <c r="R36" i="5"/>
  <c r="S36" i="5"/>
  <c r="B321" i="4"/>
  <c r="N37" i="5"/>
  <c r="R37" i="5"/>
  <c r="S37" i="5"/>
  <c r="N38" i="5"/>
  <c r="R38" i="5"/>
  <c r="S38" i="5"/>
  <c r="N39" i="5"/>
  <c r="R39" i="5"/>
  <c r="S39" i="5"/>
  <c r="N40" i="5"/>
  <c r="R40" i="5"/>
  <c r="S40" i="5"/>
  <c r="C321" i="4"/>
  <c r="N41" i="5"/>
  <c r="R41" i="5"/>
  <c r="S41" i="5"/>
  <c r="N42" i="5"/>
  <c r="R42" i="5"/>
  <c r="S42" i="5"/>
  <c r="D321" i="4"/>
  <c r="D21" i="4" a="1"/>
  <c r="D21" i="4" s="1"/>
  <c r="N43" i="5"/>
  <c r="R43" i="5"/>
  <c r="S43" i="5"/>
  <c r="F321" i="4"/>
  <c r="F21" i="4" a="1"/>
  <c r="F21" i="4" s="1"/>
  <c r="N44" i="5"/>
  <c r="R44" i="5"/>
  <c r="S44" i="5" s="1"/>
  <c r="D322" i="4"/>
  <c r="N45" i="5"/>
  <c r="R45" i="5"/>
  <c r="S45" i="5"/>
  <c r="N46" i="5"/>
  <c r="R46" i="5"/>
  <c r="S46" i="5"/>
  <c r="N47" i="5"/>
  <c r="R47" i="5"/>
  <c r="S47" i="5"/>
  <c r="N48" i="5"/>
  <c r="R48" i="5"/>
  <c r="S48" i="5"/>
  <c r="N49" i="5"/>
  <c r="R49" i="5"/>
  <c r="S49" i="5"/>
  <c r="E322" i="4"/>
  <c r="N50" i="5"/>
  <c r="R50" i="5"/>
  <c r="S50" i="5"/>
  <c r="N51" i="5"/>
  <c r="R51" i="5"/>
  <c r="S51" i="5"/>
  <c r="N98" i="5"/>
  <c r="R98" i="5"/>
  <c r="S98" i="5"/>
  <c r="C39" i="4" a="1"/>
  <c r="C39" i="4" s="1"/>
  <c r="N99" i="5"/>
  <c r="R99" i="5"/>
  <c r="S99" i="5"/>
  <c r="N100" i="5"/>
  <c r="R100" i="5"/>
  <c r="S100" i="5"/>
  <c r="E39" i="4" a="1"/>
  <c r="E39" i="4" s="1"/>
  <c r="N101" i="5"/>
  <c r="R101" i="5"/>
  <c r="S101" i="5"/>
  <c r="N102" i="5"/>
  <c r="R102" i="5"/>
  <c r="S102" i="5"/>
  <c r="N103" i="5"/>
  <c r="R103" i="5"/>
  <c r="S103" i="5"/>
  <c r="N104" i="5"/>
  <c r="R104" i="5"/>
  <c r="S104" i="5"/>
  <c r="B40" i="4" a="1"/>
  <c r="B40" i="4" s="1"/>
  <c r="N105" i="5"/>
  <c r="R105" i="5"/>
  <c r="S105" i="5"/>
  <c r="N106" i="5"/>
  <c r="R106" i="5"/>
  <c r="S106" i="5"/>
  <c r="N107" i="5"/>
  <c r="R107" i="5"/>
  <c r="S107" i="5"/>
  <c r="N108" i="5"/>
  <c r="R108" i="5"/>
  <c r="S108" i="5"/>
  <c r="N186" i="5"/>
  <c r="R186" i="5"/>
  <c r="S186" i="5"/>
  <c r="D11" i="6"/>
  <c r="B11" i="6"/>
  <c r="F11" i="6"/>
  <c r="F64" i="4" a="1"/>
  <c r="F64" i="4" s="1"/>
  <c r="C11" i="6"/>
  <c r="E11" i="6"/>
  <c r="F364" i="4"/>
  <c r="N109" i="5"/>
  <c r="R109" i="5"/>
  <c r="S109" i="5"/>
  <c r="N110" i="5"/>
  <c r="R110" i="5"/>
  <c r="S110" i="5"/>
  <c r="N111" i="5"/>
  <c r="R111" i="5"/>
  <c r="S111" i="5"/>
  <c r="F40" i="4" a="1"/>
  <c r="F40" i="4" s="1"/>
  <c r="N112" i="5"/>
  <c r="R112" i="5"/>
  <c r="S112" i="5"/>
  <c r="N113" i="5"/>
  <c r="R113" i="5"/>
  <c r="S113" i="5" s="1"/>
  <c r="N114" i="5"/>
  <c r="R114" i="5"/>
  <c r="S114" i="5"/>
  <c r="N115" i="5"/>
  <c r="R115" i="5"/>
  <c r="S115" i="5"/>
  <c r="N116" i="5"/>
  <c r="R116" i="5"/>
  <c r="S116" i="5" s="1"/>
  <c r="N117" i="5"/>
  <c r="R117" i="5"/>
  <c r="S117" i="5"/>
  <c r="N118" i="5"/>
  <c r="R118" i="5"/>
  <c r="S118" i="5"/>
  <c r="N119" i="5"/>
  <c r="R119" i="5"/>
  <c r="S119" i="5" s="1"/>
  <c r="N120" i="5"/>
  <c r="R120" i="5"/>
  <c r="S120" i="5"/>
  <c r="N121" i="5"/>
  <c r="R121" i="5"/>
  <c r="S121" i="5" s="1"/>
  <c r="N122" i="5"/>
  <c r="R122" i="5"/>
  <c r="S122" i="5"/>
  <c r="N123" i="5"/>
  <c r="R123" i="5"/>
  <c r="S123" i="5"/>
  <c r="E9" i="6"/>
  <c r="C9" i="6"/>
  <c r="F9" i="6"/>
  <c r="B9" i="6"/>
  <c r="D9" i="6"/>
  <c r="N124" i="5"/>
  <c r="R124" i="5"/>
  <c r="S124" i="5" s="1"/>
  <c r="N125" i="5"/>
  <c r="R125" i="5"/>
  <c r="S125" i="5"/>
  <c r="N126" i="5"/>
  <c r="R126" i="5"/>
  <c r="S126" i="5"/>
  <c r="N127" i="5"/>
  <c r="R127" i="5"/>
  <c r="S127" i="5" s="1"/>
  <c r="N128" i="5"/>
  <c r="R128" i="5"/>
  <c r="S128" i="5"/>
  <c r="D48" i="4" a="1"/>
  <c r="D48" i="4" s="1"/>
  <c r="N129" i="5"/>
  <c r="R129" i="5"/>
  <c r="S129" i="5"/>
  <c r="E48" i="4" a="1"/>
  <c r="E48" i="4" s="1"/>
  <c r="N130" i="5"/>
  <c r="R130" i="5"/>
  <c r="S130" i="5" s="1"/>
  <c r="N131" i="5"/>
  <c r="R131" i="5"/>
  <c r="S131" i="5"/>
  <c r="N132" i="5"/>
  <c r="R132" i="5"/>
  <c r="S132" i="5"/>
  <c r="N133" i="5"/>
  <c r="R133" i="5"/>
  <c r="S133" i="5"/>
  <c r="N134" i="5"/>
  <c r="R134" i="5"/>
  <c r="S134" i="5"/>
  <c r="N135" i="5"/>
  <c r="R135" i="5"/>
  <c r="S135" i="5"/>
  <c r="N136" i="5"/>
  <c r="R136" i="5"/>
  <c r="S136" i="5"/>
  <c r="D49" i="4" a="1"/>
  <c r="D49" i="4" s="1"/>
  <c r="N137" i="5"/>
  <c r="R137" i="5"/>
  <c r="S137" i="5"/>
  <c r="N138" i="5"/>
  <c r="R138" i="5"/>
  <c r="S138" i="5" s="1"/>
  <c r="N139" i="5"/>
  <c r="R139" i="5"/>
  <c r="S139" i="5"/>
  <c r="N140" i="5"/>
  <c r="R140" i="5"/>
  <c r="S140" i="5"/>
  <c r="N141" i="5"/>
  <c r="R141" i="5"/>
  <c r="S141" i="5"/>
  <c r="N142" i="5"/>
  <c r="R142" i="5"/>
  <c r="S142" i="5"/>
  <c r="N143" i="5"/>
  <c r="R143" i="5"/>
  <c r="S143" i="5"/>
  <c r="N144" i="5"/>
  <c r="R144" i="5"/>
  <c r="S144" i="5" s="1"/>
  <c r="N145" i="5"/>
  <c r="R145" i="5"/>
  <c r="S145" i="5" s="1"/>
  <c r="N146" i="5"/>
  <c r="R146" i="5"/>
  <c r="S146" i="5"/>
  <c r="N147" i="5"/>
  <c r="R147" i="5"/>
  <c r="S147" i="5"/>
  <c r="N148" i="5"/>
  <c r="R148" i="5"/>
  <c r="S148" i="5"/>
  <c r="N52" i="5"/>
  <c r="R52" i="5"/>
  <c r="S52" i="5"/>
  <c r="N150" i="5"/>
  <c r="R150" i="5"/>
  <c r="S150" i="5"/>
  <c r="N151" i="5"/>
  <c r="R151" i="5"/>
  <c r="S151" i="5"/>
  <c r="N152" i="5"/>
  <c r="R152" i="5"/>
  <c r="S152" i="5"/>
  <c r="N153" i="5"/>
  <c r="R153" i="5"/>
  <c r="S153" i="5"/>
  <c r="N154" i="5"/>
  <c r="R154" i="5"/>
  <c r="S154" i="5"/>
  <c r="C10" i="6"/>
  <c r="F10" i="6"/>
  <c r="D10" i="6"/>
  <c r="B10" i="6"/>
  <c r="E10" i="6"/>
  <c r="D56" i="4" a="1"/>
  <c r="D56" i="4" s="1"/>
  <c r="N155" i="5"/>
  <c r="R155" i="5"/>
  <c r="S155" i="5"/>
  <c r="N156" i="5"/>
  <c r="R156" i="5"/>
  <c r="S156" i="5"/>
  <c r="N157" i="5"/>
  <c r="R157" i="5"/>
  <c r="S157" i="5"/>
  <c r="N158" i="5"/>
  <c r="R158" i="5"/>
  <c r="S158" i="5"/>
  <c r="N160" i="5"/>
  <c r="R160" i="5"/>
  <c r="S160" i="5"/>
  <c r="N161" i="5"/>
  <c r="R161" i="5"/>
  <c r="S161" i="5"/>
  <c r="N162" i="5"/>
  <c r="R162" i="5"/>
  <c r="S162" i="5"/>
  <c r="C57" i="4" a="1"/>
  <c r="C57" i="4" s="1"/>
  <c r="N163" i="5"/>
  <c r="R163" i="5"/>
  <c r="S163" i="5"/>
  <c r="N164" i="5"/>
  <c r="R164" i="5"/>
  <c r="S164" i="5"/>
  <c r="N165" i="5"/>
  <c r="R165" i="5"/>
  <c r="S165" i="5"/>
  <c r="N166" i="5"/>
  <c r="R166" i="5"/>
  <c r="S166" i="5"/>
  <c r="E57" i="4" a="1"/>
  <c r="E57" i="4" s="1"/>
  <c r="N167" i="5"/>
  <c r="R167" i="5"/>
  <c r="S167" i="5"/>
  <c r="N168" i="5"/>
  <c r="R168" i="5"/>
  <c r="S168" i="5"/>
  <c r="N169" i="5"/>
  <c r="R169" i="5"/>
  <c r="S169" i="5"/>
  <c r="N170" i="5"/>
  <c r="R170" i="5"/>
  <c r="S170" i="5"/>
  <c r="N171" i="5"/>
  <c r="R171" i="5"/>
  <c r="S171" i="5"/>
  <c r="N172" i="5"/>
  <c r="R172" i="5"/>
  <c r="S172" i="5"/>
  <c r="E58" i="4" a="1"/>
  <c r="E58" i="4" s="1"/>
  <c r="N173" i="5"/>
  <c r="R173" i="5"/>
  <c r="S173" i="5"/>
  <c r="N174" i="5"/>
  <c r="R174" i="5"/>
  <c r="S174" i="5"/>
  <c r="N175" i="5"/>
  <c r="R175" i="5"/>
  <c r="S175" i="5"/>
  <c r="N176" i="5"/>
  <c r="R176" i="5"/>
  <c r="S176" i="5"/>
  <c r="N177" i="5"/>
  <c r="R177" i="5"/>
  <c r="S177" i="5"/>
  <c r="N178" i="5"/>
  <c r="R178" i="5"/>
  <c r="S178" i="5"/>
  <c r="N179" i="5"/>
  <c r="R179" i="5"/>
  <c r="S179" i="5" s="1"/>
  <c r="N180" i="5"/>
  <c r="R180" i="5"/>
  <c r="S180" i="5"/>
  <c r="N181" i="5"/>
  <c r="R181" i="5"/>
  <c r="S181" i="5"/>
  <c r="N182" i="5"/>
  <c r="R182" i="5"/>
  <c r="S182" i="5"/>
  <c r="N183" i="5"/>
  <c r="R183" i="5"/>
  <c r="S183" i="5"/>
  <c r="N184" i="5"/>
  <c r="R184" i="5"/>
  <c r="S184" i="5" s="1"/>
  <c r="N185" i="5"/>
  <c r="R185" i="5"/>
  <c r="S185" i="5" s="1"/>
  <c r="C360" i="4"/>
  <c r="N187" i="5"/>
  <c r="R187" i="5"/>
  <c r="S187" i="5" s="1"/>
  <c r="B365" i="4"/>
  <c r="N188" i="5"/>
  <c r="R188" i="5"/>
  <c r="S188" i="5"/>
  <c r="N189" i="5"/>
  <c r="R189" i="5"/>
  <c r="S189" i="5"/>
  <c r="N190" i="5"/>
  <c r="R190" i="5"/>
  <c r="S190" i="5" s="1"/>
  <c r="N191" i="5"/>
  <c r="R191" i="5"/>
  <c r="S191" i="5"/>
  <c r="N192" i="5"/>
  <c r="R192" i="5"/>
  <c r="S192" i="5"/>
  <c r="C365" i="4"/>
  <c r="C65" i="4" a="1"/>
  <c r="C65" i="4" s="1"/>
  <c r="N193" i="5"/>
  <c r="R193" i="5"/>
  <c r="S193" i="5" s="1"/>
  <c r="D365" i="4"/>
  <c r="N194" i="5"/>
  <c r="R194" i="5"/>
  <c r="S194" i="5" s="1"/>
  <c r="F365" i="4"/>
  <c r="N195" i="5"/>
  <c r="R195" i="5"/>
  <c r="S195" i="5"/>
  <c r="N196" i="5"/>
  <c r="R196" i="5"/>
  <c r="S196" i="5"/>
  <c r="N197" i="5"/>
  <c r="R197" i="5"/>
  <c r="S197" i="5" s="1"/>
  <c r="N198" i="5"/>
  <c r="R198" i="5"/>
  <c r="S198" i="5"/>
  <c r="B66" i="4" a="1"/>
  <c r="B66" i="4" s="1"/>
  <c r="B366" i="4"/>
  <c r="N199" i="5"/>
  <c r="R199" i="5"/>
  <c r="S199" i="5"/>
  <c r="N200" i="5"/>
  <c r="R200" i="5"/>
  <c r="S200" i="5" s="1"/>
  <c r="C366" i="4"/>
  <c r="N149" i="5"/>
  <c r="R149" i="5"/>
  <c r="S149" i="5"/>
  <c r="N202" i="5"/>
  <c r="R202" i="5"/>
  <c r="S202" i="5"/>
  <c r="N203" i="5"/>
  <c r="R203" i="5"/>
  <c r="S203" i="5"/>
  <c r="N204" i="5"/>
  <c r="R204" i="5"/>
  <c r="S204" i="5"/>
  <c r="E366" i="4"/>
  <c r="N205" i="5"/>
  <c r="R205" i="5"/>
  <c r="S205" i="5"/>
  <c r="F66" i="4" a="1"/>
  <c r="F66" i="4" s="1"/>
  <c r="F366" i="4"/>
  <c r="N206" i="5"/>
  <c r="R206" i="5"/>
  <c r="S206" i="5"/>
  <c r="B367" i="4"/>
  <c r="N207" i="5"/>
  <c r="R207" i="5"/>
  <c r="S207" i="5"/>
  <c r="N208" i="5"/>
  <c r="R208" i="5"/>
  <c r="S208" i="5"/>
  <c r="N209" i="5"/>
  <c r="R209" i="5"/>
  <c r="S209" i="5"/>
  <c r="N210" i="5"/>
  <c r="R210" i="5"/>
  <c r="S210" i="5"/>
  <c r="N211" i="5"/>
  <c r="R211" i="5"/>
  <c r="S211" i="5"/>
  <c r="N212" i="5"/>
  <c r="R212" i="5"/>
  <c r="S212" i="5"/>
  <c r="N213" i="5"/>
  <c r="R213" i="5"/>
  <c r="S213" i="5"/>
  <c r="N214" i="5"/>
  <c r="R214" i="5"/>
  <c r="S214" i="5"/>
  <c r="N215" i="5"/>
  <c r="R215" i="5"/>
  <c r="S215" i="5"/>
  <c r="N216" i="5"/>
  <c r="R216" i="5"/>
  <c r="S216" i="5"/>
  <c r="N217" i="5"/>
  <c r="R217" i="5"/>
  <c r="S217" i="5"/>
  <c r="B368" i="4"/>
  <c r="N218" i="5"/>
  <c r="R218" i="5"/>
  <c r="S218" i="5"/>
  <c r="N219" i="5"/>
  <c r="R219" i="5"/>
  <c r="S219" i="5"/>
  <c r="F368" i="4"/>
  <c r="N220" i="5"/>
  <c r="R220" i="5"/>
  <c r="S220" i="5"/>
  <c r="C12" i="6"/>
  <c r="F12" i="6"/>
  <c r="D12" i="6"/>
  <c r="B74" i="4" a="1"/>
  <c r="B74" i="4" s="1"/>
  <c r="B12" i="6"/>
  <c r="E12" i="6"/>
  <c r="B374" i="4"/>
  <c r="N221" i="5"/>
  <c r="R221" i="5"/>
  <c r="S221" i="5"/>
  <c r="C374" i="4"/>
  <c r="N222" i="5"/>
  <c r="R222" i="5"/>
  <c r="S222" i="5"/>
  <c r="N223" i="5"/>
  <c r="R223" i="5"/>
  <c r="S223" i="5"/>
  <c r="D374" i="4"/>
  <c r="N224" i="5"/>
  <c r="R224" i="5"/>
  <c r="S224" i="5" s="1"/>
  <c r="N225" i="5"/>
  <c r="R225" i="5"/>
  <c r="S225" i="5"/>
  <c r="N226" i="5"/>
  <c r="R226" i="5"/>
  <c r="S226" i="5"/>
  <c r="E74" i="4" a="1"/>
  <c r="E74" i="4" s="1"/>
  <c r="E374" i="4"/>
  <c r="N227" i="5"/>
  <c r="R227" i="5"/>
  <c r="S227" i="5"/>
  <c r="F374" i="4"/>
  <c r="F74" i="4" a="1"/>
  <c r="F74" i="4" s="1"/>
  <c r="N228" i="5"/>
  <c r="R228" i="5"/>
  <c r="S228" i="5" s="1"/>
  <c r="B375" i="4"/>
  <c r="N229" i="5"/>
  <c r="R229" i="5"/>
  <c r="S229" i="5" s="1"/>
  <c r="N230" i="5"/>
  <c r="R230" i="5"/>
  <c r="S230" i="5"/>
  <c r="N231" i="5"/>
  <c r="R231" i="5"/>
  <c r="S231" i="5"/>
  <c r="N232" i="5"/>
  <c r="R232" i="5"/>
  <c r="S232" i="5" s="1"/>
  <c r="N233" i="5"/>
  <c r="R233" i="5"/>
  <c r="S233" i="5"/>
  <c r="C75" i="4" a="1"/>
  <c r="C75" i="4" s="1"/>
  <c r="C375" i="4"/>
  <c r="N234" i="5"/>
  <c r="R234" i="5"/>
  <c r="S234" i="5"/>
  <c r="E75" i="4" a="1"/>
  <c r="E75" i="4" s="1"/>
  <c r="E375" i="4"/>
  <c r="N235" i="5"/>
  <c r="R235" i="5"/>
  <c r="S235" i="5"/>
  <c r="F375" i="4"/>
  <c r="N236" i="5"/>
  <c r="R236" i="5"/>
  <c r="S236" i="5"/>
  <c r="N237" i="5"/>
  <c r="R237" i="5"/>
  <c r="S237" i="5" s="1"/>
  <c r="C376" i="4"/>
  <c r="N238" i="5"/>
  <c r="R238" i="5"/>
  <c r="S238" i="5"/>
  <c r="N75" i="5"/>
  <c r="R75" i="5"/>
  <c r="S75" i="5"/>
  <c r="N239" i="5"/>
  <c r="R239" i="5"/>
  <c r="S239" i="5"/>
  <c r="N76" i="5"/>
  <c r="R76" i="5"/>
  <c r="S76" i="5" s="1"/>
  <c r="B331" i="4"/>
  <c r="N240" i="5"/>
  <c r="R240" i="5"/>
  <c r="S240" i="5"/>
  <c r="N77" i="5"/>
  <c r="R77" i="5"/>
  <c r="S77" i="5" s="1"/>
  <c r="N2" i="5"/>
  <c r="R2" i="5"/>
  <c r="S2" i="5"/>
  <c r="B11" i="4" s="1" a="1"/>
  <c r="B11" i="4" s="1"/>
  <c r="E5" i="6"/>
  <c r="B311" i="4"/>
  <c r="C5" i="6"/>
  <c r="F5" i="6"/>
  <c r="B13" i="1"/>
  <c r="B5" i="6"/>
  <c r="D5" i="6"/>
  <c r="N78" i="5"/>
  <c r="R78" i="5"/>
  <c r="S78" i="5"/>
  <c r="N53" i="5"/>
  <c r="R53" i="5"/>
  <c r="S53" i="5"/>
  <c r="F322" i="4"/>
  <c r="N79" i="5"/>
  <c r="R79" i="5"/>
  <c r="S79" i="5"/>
  <c r="C331" i="4"/>
  <c r="C31" i="4" a="1"/>
  <c r="C31" i="4" s="1"/>
  <c r="N3" i="5"/>
  <c r="R3" i="5"/>
  <c r="S3" i="5"/>
  <c r="N80" i="5"/>
  <c r="R80" i="5"/>
  <c r="S80" i="5"/>
  <c r="N54" i="5"/>
  <c r="R54" i="5"/>
  <c r="S54" i="5"/>
  <c r="N201" i="5"/>
  <c r="R201" i="5"/>
  <c r="S201" i="5"/>
  <c r="D366" i="4"/>
  <c r="N325" i="5"/>
  <c r="N322" i="5"/>
  <c r="N319" i="5"/>
  <c r="N313" i="5"/>
  <c r="N277" i="5"/>
  <c r="N271" i="5"/>
  <c r="N268" i="5"/>
  <c r="N267" i="5"/>
  <c r="N264" i="5"/>
  <c r="N263" i="5"/>
  <c r="N260" i="5"/>
  <c r="N258" i="5"/>
  <c r="N316" i="5"/>
  <c r="N360" i="5"/>
  <c r="N356" i="5"/>
  <c r="N353" i="5"/>
  <c r="N351" i="5"/>
  <c r="N347" i="5"/>
  <c r="N332" i="5"/>
  <c r="N376" i="5"/>
  <c r="N374" i="5"/>
  <c r="N372" i="5"/>
  <c r="N370" i="5"/>
  <c r="N364" i="5"/>
  <c r="N361" i="5"/>
  <c r="N345" i="5"/>
  <c r="N341" i="5"/>
  <c r="N340" i="5"/>
  <c r="N339" i="5"/>
  <c r="N331" i="5"/>
  <c r="N357" i="5"/>
  <c r="N330" i="5"/>
  <c r="N326" i="5"/>
  <c r="N308" i="5"/>
  <c r="N306" i="5"/>
  <c r="N304" i="5"/>
  <c r="N302" i="5"/>
  <c r="N279" i="5"/>
  <c r="N281" i="5"/>
  <c r="N283" i="5"/>
  <c r="N285" i="5"/>
  <c r="N288" i="5"/>
  <c r="N291" i="5"/>
  <c r="N294" i="5"/>
  <c r="N298" i="5"/>
  <c r="N299" i="5"/>
  <c r="N295" i="5"/>
  <c r="E17" i="6" l="1"/>
  <c r="L22" i="3"/>
  <c r="M22" i="3" a="1"/>
  <c r="M22" i="3" s="1"/>
  <c r="A23" i="3" a="1"/>
  <c r="A23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K23" i="3" a="1"/>
  <c r="K23" i="3" s="1"/>
  <c r="L23" i="3"/>
  <c r="M23" i="3" a="1"/>
  <c r="M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K24" i="3" a="1"/>
  <c r="K24" i="3" s="1"/>
  <c r="L24" i="3"/>
  <c r="M24" i="3" a="1"/>
  <c r="M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K25" i="3" a="1"/>
  <c r="K25" i="3" s="1"/>
  <c r="L25" i="3" a="1"/>
  <c r="L25" i="3" s="1"/>
  <c r="M25" i="3" a="1"/>
  <c r="M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K26" i="3" a="1"/>
  <c r="K26" i="3" s="1"/>
  <c r="L26" i="3"/>
  <c r="M26" i="3" a="1"/>
  <c r="M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K27" i="3" a="1"/>
  <c r="K27" i="3" s="1"/>
  <c r="L27" i="3"/>
  <c r="M27" i="3" a="1"/>
  <c r="M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 s="1"/>
  <c r="K28" i="3" a="1"/>
  <c r="K28" i="3" s="1"/>
  <c r="L28" i="3" a="1"/>
  <c r="L28" i="3" s="1"/>
  <c r="M28" i="3" a="1"/>
  <c r="M28" i="3" s="1"/>
  <c r="A29" i="3" a="1"/>
  <c r="A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K29" i="3" a="1"/>
  <c r="K29" i="3" s="1"/>
  <c r="L29" i="3" a="1"/>
  <c r="L29" i="3" s="1"/>
  <c r="M29" i="3" a="1"/>
  <c r="M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H30" i="3" a="1"/>
  <c r="H30" i="3" s="1"/>
  <c r="I30" i="3" a="1"/>
  <c r="I30" i="3" s="1"/>
  <c r="K30" i="3" a="1"/>
  <c r="K30" i="3" s="1"/>
  <c r="L30" i="3" a="1"/>
  <c r="L30" i="3" s="1"/>
  <c r="M30" i="3" a="1"/>
  <c r="M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K31" i="3" a="1"/>
  <c r="K31" i="3" s="1"/>
  <c r="L31" i="3"/>
  <c r="M31" i="3" a="1"/>
  <c r="M31" i="3" s="1"/>
  <c r="A32" i="3" a="1"/>
  <c r="A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K32" i="3" a="1"/>
  <c r="K32" i="3" s="1"/>
  <c r="L32" i="3"/>
  <c r="M32" i="3" a="1"/>
  <c r="M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K33" i="3" a="1"/>
  <c r="K33" i="3" s="1"/>
  <c r="L33" i="3"/>
  <c r="M33" i="3" a="1"/>
  <c r="M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K34" i="3" a="1"/>
  <c r="K34" i="3" s="1"/>
  <c r="L34" i="3"/>
  <c r="M34" i="3" a="1"/>
  <c r="M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K35" i="3" a="1"/>
  <c r="K35" i="3" s="1"/>
  <c r="L35" i="3"/>
  <c r="M35" i="3" a="1"/>
  <c r="M35" i="3" s="1"/>
  <c r="A36" i="3" a="1"/>
  <c r="A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K36" i="3" a="1"/>
  <c r="K36" i="3" s="1"/>
  <c r="L36" i="3"/>
  <c r="M36" i="3" a="1"/>
  <c r="M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H7" i="3" a="1"/>
  <c r="H7" i="3" s="1"/>
  <c r="I7" i="3" a="1"/>
  <c r="I7" i="3" s="1"/>
  <c r="K7" i="3" a="1"/>
  <c r="K7" i="3" s="1"/>
  <c r="L7" i="3"/>
  <c r="M7" i="3" a="1"/>
  <c r="M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H8" i="3" a="1"/>
  <c r="H8" i="3" s="1"/>
  <c r="I8" i="3" a="1"/>
  <c r="I8" i="3" s="1"/>
  <c r="K8" i="3" a="1"/>
  <c r="K8" i="3" s="1"/>
  <c r="L8" i="3"/>
  <c r="M8" i="3" a="1"/>
  <c r="M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H9" i="3" a="1"/>
  <c r="H9" i="3" s="1"/>
  <c r="I9" i="3" a="1"/>
  <c r="I9" i="3" s="1"/>
  <c r="K9" i="3" a="1"/>
  <c r="K9" i="3" s="1"/>
  <c r="L9" i="3"/>
  <c r="M9" i="3" a="1"/>
  <c r="M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F10" i="3" a="1"/>
  <c r="F10" i="3" s="1"/>
  <c r="G10" i="3" a="1"/>
  <c r="G10" i="3" s="1"/>
  <c r="H10" i="3" a="1"/>
  <c r="H10" i="3" s="1"/>
  <c r="I10" i="3" a="1"/>
  <c r="I10" i="3" s="1"/>
  <c r="K10" i="3" a="1"/>
  <c r="K10" i="3" s="1"/>
  <c r="L10" i="3"/>
  <c r="M10" i="3" a="1"/>
  <c r="M10" i="3" s="1"/>
  <c r="A11" i="3" a="1"/>
  <c r="A11" i="3" s="1"/>
  <c r="B11" i="3" a="1"/>
  <c r="B11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H11" i="3" a="1"/>
  <c r="H11" i="3" s="1"/>
  <c r="I11" i="3" a="1"/>
  <c r="I11" i="3" s="1"/>
  <c r="K11" i="3" a="1"/>
  <c r="K11" i="3" s="1"/>
  <c r="L11" i="3"/>
  <c r="M11" i="3" a="1"/>
  <c r="M11" i="3" s="1"/>
  <c r="A12" i="3" a="1"/>
  <c r="A12" i="3" s="1"/>
  <c r="B12" i="3" a="1"/>
  <c r="B12" i="3" s="1"/>
  <c r="C12" i="3" a="1"/>
  <c r="C12" i="3" s="1"/>
  <c r="D12" i="3" a="1"/>
  <c r="D12" i="3" s="1"/>
  <c r="E12" i="3" a="1"/>
  <c r="E12" i="3" s="1"/>
  <c r="F12" i="3" a="1"/>
  <c r="F12" i="3" s="1"/>
  <c r="G12" i="3" a="1"/>
  <c r="G12" i="3" s="1"/>
  <c r="H12" i="3" a="1"/>
  <c r="H12" i="3" s="1"/>
  <c r="I12" i="3" a="1"/>
  <c r="I12" i="3" s="1"/>
  <c r="K12" i="3" a="1"/>
  <c r="K12" i="3" s="1"/>
  <c r="L12" i="3" a="1"/>
  <c r="L12" i="3" s="1"/>
  <c r="M12" i="3" a="1"/>
  <c r="M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H13" i="3" a="1"/>
  <c r="H13" i="3" s="1"/>
  <c r="I13" i="3" a="1"/>
  <c r="I13" i="3" s="1"/>
  <c r="K13" i="3" a="1"/>
  <c r="K13" i="3" s="1"/>
  <c r="L13" i="3"/>
  <c r="M13" i="3" a="1"/>
  <c r="M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K14" i="3" a="1"/>
  <c r="K14" i="3" s="1"/>
  <c r="L14" i="3"/>
  <c r="M14" i="3" a="1"/>
  <c r="M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K15" i="3" a="1"/>
  <c r="K15" i="3" s="1"/>
  <c r="L15" i="3"/>
  <c r="M15" i="3" a="1"/>
  <c r="M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K16" i="3" a="1"/>
  <c r="K16" i="3" s="1"/>
  <c r="L16" i="3" a="1"/>
  <c r="L16" i="3" s="1"/>
  <c r="M16" i="3" a="1"/>
  <c r="M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K17" i="3" a="1"/>
  <c r="K17" i="3" s="1"/>
  <c r="L17" i="3" a="1"/>
  <c r="L17" i="3" s="1"/>
  <c r="M17" i="3" a="1"/>
  <c r="M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K18" i="3" a="1"/>
  <c r="K18" i="3" s="1"/>
  <c r="L18" i="3"/>
  <c r="M18" i="3" a="1"/>
  <c r="M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 s="1"/>
  <c r="I19" i="3" a="1"/>
  <c r="I19" i="3" s="1"/>
  <c r="K19" i="3" a="1"/>
  <c r="K19" i="3" s="1"/>
  <c r="L19" i="3"/>
  <c r="M19" i="3" a="1"/>
  <c r="M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K20" i="3" a="1"/>
  <c r="K20" i="3" s="1"/>
  <c r="L20" i="3"/>
  <c r="M20" i="3" a="1"/>
  <c r="M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K21" i="3" a="1"/>
  <c r="K21" i="3" s="1"/>
  <c r="L21" i="3"/>
  <c r="M21" i="3" a="1"/>
  <c r="M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K22" i="3" a="1"/>
  <c r="K22" i="3" s="1"/>
  <c r="G37" i="3" a="1"/>
  <c r="G37" i="3" s="1"/>
  <c r="H37" i="3" a="1"/>
  <c r="H37" i="3" s="1"/>
  <c r="I37" i="3" a="1"/>
  <c r="I37" i="3" s="1"/>
  <c r="K37" i="3" a="1"/>
  <c r="K37" i="3" s="1"/>
  <c r="L37" i="3" a="1"/>
  <c r="L37" i="3" s="1"/>
  <c r="M37" i="3" a="1"/>
  <c r="M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K38" i="3" a="1"/>
  <c r="K38" i="3" s="1"/>
  <c r="L38" i="3" a="1"/>
  <c r="L38" i="3" s="1"/>
  <c r="M38" i="3" a="1"/>
  <c r="M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K39" i="3" a="1"/>
  <c r="K39" i="3" s="1"/>
  <c r="L39" i="3"/>
  <c r="M39" i="3" a="1"/>
  <c r="M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K40" i="3" a="1"/>
  <c r="K40" i="3" s="1"/>
  <c r="L40" i="3"/>
  <c r="M40" i="3" a="1"/>
  <c r="M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K41" i="3" a="1"/>
  <c r="K41" i="3" s="1"/>
  <c r="L41" i="3" a="1"/>
  <c r="L41" i="3" s="1"/>
  <c r="M41" i="3" a="1"/>
  <c r="M41" i="3" s="1"/>
  <c r="A42" i="3" a="1"/>
  <c r="A42" i="3" s="1"/>
  <c r="B42" i="3" a="1"/>
  <c r="B42" i="3" s="1"/>
  <c r="C42" i="3" a="1"/>
  <c r="C42" i="3" s="1"/>
  <c r="D42" i="3" a="1"/>
  <c r="D42" i="3" s="1"/>
  <c r="E42" i="3" a="1"/>
  <c r="E42" i="3" s="1"/>
  <c r="F42" i="3" a="1"/>
  <c r="F42" i="3" s="1"/>
  <c r="G42" i="3" a="1"/>
  <c r="G42" i="3" s="1"/>
  <c r="H42" i="3" a="1"/>
  <c r="H42" i="3" s="1"/>
  <c r="I42" i="3" a="1"/>
  <c r="I42" i="3" s="1"/>
  <c r="K42" i="3" a="1"/>
  <c r="K42" i="3" s="1"/>
  <c r="L42" i="3" a="1"/>
  <c r="L42" i="3" s="1"/>
  <c r="M42" i="3" a="1"/>
  <c r="M42" i="3" s="1"/>
  <c r="A43" i="3" a="1"/>
  <c r="A43" i="3" s="1"/>
  <c r="B43" i="3" a="1"/>
  <c r="B43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H43" i="3" a="1"/>
  <c r="H43" i="3" s="1"/>
  <c r="I43" i="3" a="1"/>
  <c r="I43" i="3" s="1"/>
  <c r="K43" i="3" a="1"/>
  <c r="K43" i="3" s="1"/>
  <c r="L43" i="3"/>
  <c r="M43" i="3" a="1"/>
  <c r="M43" i="3" s="1"/>
  <c r="A44" i="3" a="1"/>
  <c r="A44" i="3" s="1"/>
  <c r="B44" i="3" a="1"/>
  <c r="B44" i="3" s="1"/>
  <c r="C44" i="3" a="1"/>
  <c r="C44" i="3" s="1"/>
  <c r="D44" i="3" a="1"/>
  <c r="D44" i="3" s="1"/>
  <c r="E44" i="3" a="1"/>
  <c r="E44" i="3" s="1"/>
  <c r="F44" i="3" a="1"/>
  <c r="F44" i="3" s="1"/>
  <c r="G44" i="3" a="1"/>
  <c r="G44" i="3" s="1"/>
  <c r="H44" i="3" a="1"/>
  <c r="H44" i="3" s="1"/>
  <c r="I44" i="3" a="1"/>
  <c r="I44" i="3" s="1"/>
  <c r="K44" i="3" a="1"/>
  <c r="K44" i="3" s="1"/>
  <c r="L44" i="3"/>
  <c r="M44" i="3" a="1"/>
  <c r="M44" i="3" s="1"/>
  <c r="A45" i="3" a="1"/>
  <c r="A45" i="3" s="1"/>
  <c r="B45" i="3" a="1"/>
  <c r="B45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H45" i="3" a="1"/>
  <c r="H45" i="3" s="1"/>
  <c r="I45" i="3" a="1"/>
  <c r="I45" i="3" s="1"/>
  <c r="K45" i="3" a="1"/>
  <c r="K45" i="3" s="1"/>
  <c r="L45" i="3"/>
  <c r="M45" i="3" a="1"/>
  <c r="M45" i="3" s="1"/>
  <c r="A46" i="3" a="1"/>
  <c r="A46" i="3" s="1"/>
  <c r="B46" i="3" a="1"/>
  <c r="B46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H46" i="3" a="1"/>
  <c r="H46" i="3" s="1"/>
  <c r="I46" i="3" a="1"/>
  <c r="I46" i="3" s="1"/>
  <c r="K46" i="3" a="1"/>
  <c r="K46" i="3" s="1"/>
  <c r="L46" i="3"/>
  <c r="M46" i="3" a="1"/>
  <c r="M46" i="3" s="1"/>
  <c r="A47" i="3" a="1"/>
  <c r="A47" i="3" s="1"/>
  <c r="B47" i="3" a="1"/>
  <c r="B47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H47" i="3" a="1"/>
  <c r="H47" i="3" s="1"/>
  <c r="I47" i="3" a="1"/>
  <c r="I47" i="3" s="1"/>
  <c r="K47" i="3" a="1"/>
  <c r="K47" i="3" s="1"/>
  <c r="L47" i="3"/>
  <c r="M47" i="3" a="1"/>
  <c r="M47" i="3" s="1"/>
  <c r="A48" i="3" a="1"/>
  <c r="A48" i="3" s="1"/>
  <c r="B48" i="3" a="1"/>
  <c r="B48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H48" i="3" a="1"/>
  <c r="H48" i="3" s="1"/>
  <c r="I48" i="3" a="1"/>
  <c r="I48" i="3" s="1"/>
  <c r="K48" i="3" a="1"/>
  <c r="K48" i="3" s="1"/>
  <c r="L48" i="3" a="1"/>
  <c r="L48" i="3" s="1"/>
  <c r="M48" i="3" a="1"/>
  <c r="M48" i="3" s="1"/>
  <c r="A49" i="3" a="1"/>
  <c r="A49" i="3" s="1"/>
  <c r="B49" i="3" a="1"/>
  <c r="B49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H49" i="3" a="1"/>
  <c r="H49" i="3" s="1"/>
  <c r="I49" i="3" a="1"/>
  <c r="I49" i="3" s="1"/>
  <c r="K49" i="3" a="1"/>
  <c r="K49" i="3" s="1"/>
  <c r="L49" i="3"/>
  <c r="M49" i="3" a="1"/>
  <c r="M49" i="3" s="1"/>
  <c r="A50" i="3" a="1"/>
  <c r="A50" i="3" s="1"/>
  <c r="B50" i="3" a="1"/>
  <c r="B50" i="3" s="1"/>
  <c r="C50" i="3" a="1"/>
  <c r="C50" i="3" s="1"/>
  <c r="D50" i="3" a="1"/>
  <c r="D50" i="3" s="1"/>
  <c r="E50" i="3" a="1"/>
  <c r="E50" i="3" s="1"/>
  <c r="F50" i="3" a="1"/>
  <c r="F50" i="3" s="1"/>
  <c r="G50" i="3" a="1"/>
  <c r="G50" i="3" s="1"/>
  <c r="H50" i="3" a="1"/>
  <c r="H50" i="3" s="1"/>
  <c r="I50" i="3" a="1"/>
  <c r="I50" i="3" s="1"/>
  <c r="K50" i="3" a="1"/>
  <c r="K50" i="3" s="1"/>
  <c r="L50" i="3" a="1"/>
  <c r="L50" i="3" s="1"/>
  <c r="M50" i="3" a="1"/>
  <c r="M50" i="3" s="1"/>
  <c r="A51" i="3" a="1"/>
  <c r="A51" i="3" s="1"/>
  <c r="B51" i="3" a="1"/>
  <c r="B51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H51" i="3" a="1"/>
  <c r="H51" i="3" s="1"/>
  <c r="I51" i="3" a="1"/>
  <c r="I51" i="3" s="1"/>
  <c r="K51" i="3" a="1"/>
  <c r="K51" i="3" s="1"/>
  <c r="L51" i="3"/>
  <c r="M51" i="3" a="1"/>
  <c r="M51" i="3" s="1"/>
  <c r="A52" i="3" a="1"/>
  <c r="A52" i="3" s="1"/>
  <c r="B52" i="3" a="1"/>
  <c r="B52" i="3" s="1"/>
  <c r="C52" i="3" a="1"/>
  <c r="C52" i="3" s="1"/>
  <c r="D52" i="3" a="1"/>
  <c r="D52" i="3" s="1"/>
  <c r="E52" i="3" a="1"/>
  <c r="E52" i="3" s="1"/>
  <c r="F52" i="3" a="1"/>
  <c r="F52" i="3" s="1"/>
  <c r="G52" i="3" a="1"/>
  <c r="G52" i="3" s="1"/>
  <c r="H52" i="3" a="1"/>
  <c r="H52" i="3" s="1"/>
  <c r="I52" i="3" a="1"/>
  <c r="I52" i="3" s="1"/>
  <c r="K52" i="3" a="1"/>
  <c r="K52" i="3" s="1"/>
  <c r="L52" i="3"/>
  <c r="M52" i="3" a="1"/>
  <c r="M52" i="3" s="1"/>
  <c r="A53" i="3" a="1"/>
  <c r="A53" i="3" s="1"/>
  <c r="B53" i="3" a="1"/>
  <c r="B53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H53" i="3" a="1"/>
  <c r="H53" i="3" s="1"/>
  <c r="I53" i="3" a="1"/>
  <c r="I53" i="3" s="1"/>
  <c r="K53" i="3" a="1"/>
  <c r="K53" i="3" s="1"/>
  <c r="L53" i="3" a="1"/>
  <c r="L53" i="3" s="1"/>
  <c r="M53" i="3" a="1"/>
  <c r="M53" i="3" s="1"/>
  <c r="A54" i="3" a="1"/>
  <c r="A54" i="3" s="1"/>
  <c r="B54" i="3" a="1"/>
  <c r="B54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H54" i="3" a="1"/>
  <c r="H54" i="3" s="1"/>
  <c r="I54" i="3" a="1"/>
  <c r="I54" i="3" s="1"/>
  <c r="K54" i="3" a="1"/>
  <c r="K54" i="3" s="1"/>
  <c r="L54" i="3" a="1"/>
  <c r="L54" i="3" s="1"/>
  <c r="M54" i="3" a="1"/>
  <c r="M54" i="3" s="1"/>
  <c r="A55" i="3" a="1"/>
  <c r="A55" i="3" s="1"/>
  <c r="B55" i="3" a="1"/>
  <c r="B55" i="3" s="1"/>
  <c r="C55" i="3" a="1"/>
  <c r="C55" i="3" s="1"/>
  <c r="D55" i="3" a="1"/>
  <c r="D55" i="3" s="1"/>
  <c r="E55" i="3" a="1"/>
  <c r="E55" i="3" s="1"/>
  <c r="F55" i="3" a="1"/>
  <c r="F55" i="3" s="1"/>
  <c r="G55" i="3" a="1"/>
  <c r="G55" i="3" s="1"/>
  <c r="H55" i="3" a="1"/>
  <c r="H55" i="3" s="1"/>
  <c r="I55" i="3" a="1"/>
  <c r="I55" i="3" s="1"/>
  <c r="K55" i="3" a="1"/>
  <c r="K55" i="3" s="1"/>
  <c r="L55" i="3"/>
  <c r="M55" i="3" a="1"/>
  <c r="M55" i="3" s="1"/>
  <c r="A56" i="3" a="1"/>
  <c r="A56" i="3" s="1"/>
  <c r="B56" i="3" a="1"/>
  <c r="B56" i="3" s="1"/>
  <c r="C56" i="3" a="1"/>
  <c r="C56" i="3" s="1"/>
  <c r="D56" i="3" a="1"/>
  <c r="D56" i="3" s="1"/>
  <c r="E56" i="3" a="1"/>
  <c r="E56" i="3" s="1"/>
  <c r="F56" i="3" a="1"/>
  <c r="F56" i="3" s="1"/>
  <c r="G56" i="3" a="1"/>
  <c r="G56" i="3" s="1"/>
  <c r="H56" i="3" a="1"/>
  <c r="H56" i="3" s="1"/>
  <c r="I56" i="3" a="1"/>
  <c r="I56" i="3" s="1"/>
  <c r="K56" i="3" a="1"/>
  <c r="K56" i="3" s="1"/>
  <c r="L56" i="3"/>
  <c r="M56" i="3" a="1"/>
  <c r="M56" i="3" s="1"/>
  <c r="A57" i="3" a="1"/>
  <c r="A57" i="3" s="1"/>
  <c r="B57" i="3" a="1"/>
  <c r="B57" i="3" s="1"/>
  <c r="C57" i="3" a="1"/>
  <c r="C57" i="3" s="1"/>
  <c r="D57" i="3" a="1"/>
  <c r="D57" i="3" s="1"/>
  <c r="E57" i="3" a="1"/>
  <c r="E57" i="3" s="1"/>
  <c r="F57" i="3" a="1"/>
  <c r="F57" i="3" s="1"/>
  <c r="G57" i="3" a="1"/>
  <c r="G57" i="3" s="1"/>
  <c r="H57" i="3" a="1"/>
  <c r="H57" i="3" s="1"/>
  <c r="I57" i="3" a="1"/>
  <c r="I57" i="3" s="1"/>
  <c r="K57" i="3" a="1"/>
  <c r="K57" i="3" s="1"/>
  <c r="L57" i="3"/>
  <c r="M57" i="3" a="1"/>
  <c r="M57" i="3" s="1"/>
  <c r="A58" i="3" a="1"/>
  <c r="A58" i="3" s="1"/>
  <c r="B58" i="3" a="1"/>
  <c r="B58" i="3" s="1"/>
  <c r="C58" i="3" a="1"/>
  <c r="C58" i="3" s="1"/>
  <c r="D58" i="3" a="1"/>
  <c r="D58" i="3" s="1"/>
  <c r="E58" i="3" a="1"/>
  <c r="E58" i="3" s="1"/>
  <c r="F58" i="3" a="1"/>
  <c r="F58" i="3" s="1"/>
  <c r="G58" i="3" a="1"/>
  <c r="G58" i="3" s="1"/>
  <c r="H58" i="3" a="1"/>
  <c r="H58" i="3" s="1"/>
  <c r="I58" i="3" a="1"/>
  <c r="I58" i="3" s="1"/>
  <c r="K58" i="3" a="1"/>
  <c r="K58" i="3" s="1"/>
  <c r="L58" i="3"/>
  <c r="M58" i="3" a="1"/>
  <c r="M58" i="3" s="1"/>
  <c r="A59" i="3" a="1"/>
  <c r="A59" i="3" s="1"/>
  <c r="B59" i="3" a="1"/>
  <c r="B59" i="3" s="1"/>
  <c r="C59" i="3" a="1"/>
  <c r="C59" i="3" s="1"/>
  <c r="D59" i="3" a="1"/>
  <c r="D59" i="3" s="1"/>
  <c r="E59" i="3" a="1"/>
  <c r="E59" i="3" s="1"/>
  <c r="F59" i="3" a="1"/>
  <c r="F59" i="3" s="1"/>
  <c r="G59" i="3" a="1"/>
  <c r="G59" i="3" s="1"/>
  <c r="H59" i="3" a="1"/>
  <c r="H59" i="3" s="1"/>
  <c r="I59" i="3" a="1"/>
  <c r="I59" i="3" s="1"/>
  <c r="K59" i="3" a="1"/>
  <c r="K59" i="3" s="1"/>
  <c r="L59" i="3"/>
  <c r="M59" i="3" a="1"/>
  <c r="M59" i="3" s="1"/>
  <c r="A60" i="3" a="1"/>
  <c r="A60" i="3" s="1"/>
  <c r="B60" i="3" a="1"/>
  <c r="B60" i="3" s="1"/>
  <c r="C60" i="3" a="1"/>
  <c r="C60" i="3" s="1"/>
  <c r="D60" i="3" a="1"/>
  <c r="D60" i="3" s="1"/>
  <c r="E60" i="3" a="1"/>
  <c r="E60" i="3" s="1"/>
  <c r="F60" i="3" a="1"/>
  <c r="F60" i="3" s="1"/>
  <c r="G60" i="3" a="1"/>
  <c r="G60" i="3" s="1"/>
  <c r="H60" i="3" a="1"/>
  <c r="H60" i="3" s="1"/>
  <c r="I60" i="3" a="1"/>
  <c r="I60" i="3" s="1"/>
  <c r="K60" i="3" a="1"/>
  <c r="K60" i="3" s="1"/>
  <c r="L60" i="3" a="1"/>
  <c r="L60" i="3" s="1"/>
  <c r="M60" i="3" a="1"/>
  <c r="M60" i="3" s="1"/>
  <c r="A61" i="3" a="1"/>
  <c r="A61" i="3" s="1"/>
  <c r="B61" i="3" a="1"/>
  <c r="B61" i="3" s="1"/>
  <c r="C61" i="3" a="1"/>
  <c r="C61" i="3" s="1"/>
  <c r="D61" i="3" a="1"/>
  <c r="D61" i="3" s="1"/>
  <c r="E61" i="3" a="1"/>
  <c r="E61" i="3" s="1"/>
  <c r="F61" i="3" a="1"/>
  <c r="F61" i="3" s="1"/>
  <c r="G61" i="3" a="1"/>
  <c r="G61" i="3" s="1"/>
  <c r="H61" i="3" a="1"/>
  <c r="H61" i="3" s="1"/>
  <c r="I61" i="3" a="1"/>
  <c r="I61" i="3" s="1"/>
  <c r="K61" i="3" a="1"/>
  <c r="K61" i="3" s="1"/>
  <c r="L61" i="3"/>
  <c r="M61" i="3" a="1"/>
  <c r="M61" i="3" s="1"/>
  <c r="A62" i="3" a="1"/>
  <c r="A62" i="3" s="1"/>
  <c r="B62" i="3" a="1"/>
  <c r="B62" i="3" s="1"/>
  <c r="C62" i="3" a="1"/>
  <c r="C62" i="3" s="1"/>
  <c r="D62" i="3" a="1"/>
  <c r="D62" i="3" s="1"/>
  <c r="E62" i="3" a="1"/>
  <c r="E62" i="3" s="1"/>
  <c r="F62" i="3" a="1"/>
  <c r="F62" i="3" s="1"/>
  <c r="G62" i="3" a="1"/>
  <c r="G62" i="3" s="1"/>
  <c r="H62" i="3" a="1"/>
  <c r="H62" i="3" s="1"/>
  <c r="I62" i="3" a="1"/>
  <c r="I62" i="3" s="1"/>
  <c r="K62" i="3" a="1"/>
  <c r="K62" i="3" s="1"/>
  <c r="L62" i="3" a="1"/>
  <c r="L62" i="3" s="1"/>
  <c r="M62" i="3" a="1"/>
  <c r="M62" i="3" s="1"/>
  <c r="A63" i="3" a="1"/>
  <c r="A63" i="3" s="1"/>
  <c r="B63" i="3" a="1"/>
  <c r="B63" i="3" s="1"/>
  <c r="C63" i="3" a="1"/>
  <c r="C63" i="3" s="1"/>
  <c r="D63" i="3" a="1"/>
  <c r="D63" i="3" s="1"/>
  <c r="E63" i="3" a="1"/>
  <c r="E63" i="3" s="1"/>
  <c r="F63" i="3" a="1"/>
  <c r="F63" i="3" s="1"/>
  <c r="G63" i="3" a="1"/>
  <c r="G63" i="3" s="1"/>
  <c r="H63" i="3" a="1"/>
  <c r="H63" i="3" s="1"/>
  <c r="I63" i="3" a="1"/>
  <c r="I63" i="3" s="1"/>
  <c r="K63" i="3" a="1"/>
  <c r="K63" i="3" s="1"/>
  <c r="L63" i="3"/>
  <c r="M63" i="3" a="1"/>
  <c r="M63" i="3" s="1"/>
  <c r="A64" i="3" a="1"/>
  <c r="A64" i="3" s="1"/>
  <c r="B64" i="3" a="1"/>
  <c r="B64" i="3" s="1"/>
  <c r="C64" i="3" a="1"/>
  <c r="C64" i="3" s="1"/>
  <c r="D64" i="3" a="1"/>
  <c r="D64" i="3" s="1"/>
  <c r="E64" i="3" a="1"/>
  <c r="E64" i="3" s="1"/>
  <c r="F64" i="3" a="1"/>
  <c r="F64" i="3" s="1"/>
  <c r="G64" i="3" a="1"/>
  <c r="G64" i="3" s="1"/>
  <c r="H64" i="3" a="1"/>
  <c r="H64" i="3" s="1"/>
  <c r="I64" i="3" a="1"/>
  <c r="I64" i="3" s="1"/>
  <c r="K64" i="3" a="1"/>
  <c r="K64" i="3" s="1"/>
  <c r="L64" i="3"/>
  <c r="M64" i="3" a="1"/>
  <c r="M64" i="3" s="1"/>
  <c r="A65" i="3" a="1"/>
  <c r="A65" i="3" s="1"/>
  <c r="B65" i="3" a="1"/>
  <c r="B65" i="3" s="1"/>
  <c r="C65" i="3" a="1"/>
  <c r="C65" i="3" s="1"/>
  <c r="D65" i="3" a="1"/>
  <c r="D65" i="3" s="1"/>
  <c r="E65" i="3" a="1"/>
  <c r="E65" i="3" s="1"/>
  <c r="F65" i="3" a="1"/>
  <c r="F65" i="3" s="1"/>
  <c r="G65" i="3" a="1"/>
  <c r="G65" i="3" s="1"/>
  <c r="H65" i="3" a="1"/>
  <c r="H65" i="3" s="1"/>
  <c r="I65" i="3" a="1"/>
  <c r="I65" i="3" s="1"/>
  <c r="K65" i="3" a="1"/>
  <c r="K65" i="3" s="1"/>
  <c r="L65" i="3" a="1"/>
  <c r="L65" i="3" s="1"/>
  <c r="M65" i="3" a="1"/>
  <c r="M65" i="3" s="1"/>
  <c r="A66" i="3" a="1"/>
  <c r="A66" i="3" s="1"/>
  <c r="B66" i="3" a="1"/>
  <c r="B66" i="3" s="1"/>
  <c r="C66" i="3" a="1"/>
  <c r="C66" i="3" s="1"/>
  <c r="D66" i="3" a="1"/>
  <c r="D66" i="3" s="1"/>
  <c r="E66" i="3" a="1"/>
  <c r="E66" i="3" s="1"/>
  <c r="F66" i="3" a="1"/>
  <c r="F66" i="3" s="1"/>
  <c r="G66" i="3" a="1"/>
  <c r="G66" i="3" s="1"/>
  <c r="H66" i="3" a="1"/>
  <c r="H66" i="3" s="1"/>
  <c r="I66" i="3" a="1"/>
  <c r="I66" i="3" s="1"/>
  <c r="K66" i="3" a="1"/>
  <c r="K66" i="3" s="1"/>
  <c r="L66" i="3" a="1"/>
  <c r="L66" i="3" s="1"/>
  <c r="M66" i="3" a="1"/>
  <c r="M66" i="3" s="1"/>
  <c r="A67" i="3" a="1"/>
  <c r="A67" i="3" s="1"/>
  <c r="B67" i="3" a="1"/>
  <c r="B67" i="3" s="1"/>
  <c r="C67" i="3" a="1"/>
  <c r="C67" i="3" s="1"/>
  <c r="D67" i="3" a="1"/>
  <c r="D67" i="3" s="1"/>
  <c r="E67" i="3" a="1"/>
  <c r="E67" i="3" s="1"/>
  <c r="F67" i="3" a="1"/>
  <c r="F67" i="3" s="1"/>
  <c r="G67" i="3" a="1"/>
  <c r="G67" i="3" s="1"/>
  <c r="H67" i="3" a="1"/>
  <c r="H67" i="3" s="1"/>
  <c r="I67" i="3" a="1"/>
  <c r="I67" i="3" s="1"/>
  <c r="K67" i="3" a="1"/>
  <c r="K67" i="3" s="1"/>
  <c r="L67" i="3"/>
  <c r="M67" i="3" a="1"/>
  <c r="M67" i="3" s="1"/>
  <c r="A68" i="3" a="1"/>
  <c r="A68" i="3" s="1"/>
  <c r="B68" i="3" a="1"/>
  <c r="B68" i="3" s="1"/>
  <c r="C68" i="3" a="1"/>
  <c r="C68" i="3" s="1"/>
  <c r="D68" i="3" a="1"/>
  <c r="D68" i="3" s="1"/>
  <c r="E68" i="3" a="1"/>
  <c r="E68" i="3" s="1"/>
  <c r="F68" i="3" a="1"/>
  <c r="F68" i="3" s="1"/>
  <c r="G68" i="3" a="1"/>
  <c r="G68" i="3" s="1"/>
  <c r="H68" i="3" a="1"/>
  <c r="H68" i="3" s="1"/>
  <c r="I68" i="3" a="1"/>
  <c r="I68" i="3" s="1"/>
  <c r="K68" i="3" a="1"/>
  <c r="K68" i="3" s="1"/>
  <c r="L68" i="3"/>
  <c r="M68" i="3" a="1"/>
  <c r="M68" i="3" s="1"/>
  <c r="A69" i="3" a="1"/>
  <c r="A69" i="3" s="1"/>
  <c r="B69" i="3" a="1"/>
  <c r="B69" i="3" s="1"/>
  <c r="C69" i="3" a="1"/>
  <c r="C69" i="3" s="1"/>
  <c r="D69" i="3" a="1"/>
  <c r="D69" i="3" s="1"/>
  <c r="E69" i="3" a="1"/>
  <c r="E69" i="3" s="1"/>
  <c r="F69" i="3" a="1"/>
  <c r="F69" i="3" s="1"/>
  <c r="G69" i="3" a="1"/>
  <c r="G69" i="3" s="1"/>
  <c r="H69" i="3" a="1"/>
  <c r="H69" i="3" s="1"/>
  <c r="I69" i="3" a="1"/>
  <c r="I69" i="3" s="1"/>
  <c r="K69" i="3" a="1"/>
  <c r="K69" i="3" s="1"/>
  <c r="L69" i="3"/>
  <c r="M69" i="3" a="1"/>
  <c r="M69" i="3" s="1"/>
  <c r="A70" i="3" a="1"/>
  <c r="A70" i="3" s="1"/>
  <c r="B70" i="3" a="1"/>
  <c r="B70" i="3" s="1"/>
  <c r="C70" i="3" a="1"/>
  <c r="C70" i="3" s="1"/>
  <c r="D70" i="3" a="1"/>
  <c r="D70" i="3" s="1"/>
  <c r="E70" i="3" a="1"/>
  <c r="E70" i="3" s="1"/>
  <c r="F70" i="3" a="1"/>
  <c r="F70" i="3" s="1"/>
  <c r="G70" i="3" a="1"/>
  <c r="G70" i="3" s="1"/>
  <c r="H70" i="3" a="1"/>
  <c r="H70" i="3" s="1"/>
  <c r="I70" i="3" a="1"/>
  <c r="I70" i="3" s="1"/>
  <c r="K70" i="3" a="1"/>
  <c r="K70" i="3" s="1"/>
  <c r="L70" i="3"/>
  <c r="M70" i="3" a="1"/>
  <c r="M70" i="3" s="1"/>
  <c r="A71" i="3" a="1"/>
  <c r="A71" i="3" s="1"/>
  <c r="B71" i="3" a="1"/>
  <c r="B71" i="3" s="1"/>
  <c r="C71" i="3" a="1"/>
  <c r="C71" i="3" s="1"/>
  <c r="D71" i="3" a="1"/>
  <c r="D71" i="3" s="1"/>
  <c r="E71" i="3" a="1"/>
  <c r="E71" i="3" s="1"/>
  <c r="F71" i="3" a="1"/>
  <c r="F71" i="3" s="1"/>
  <c r="G71" i="3" a="1"/>
  <c r="G71" i="3" s="1"/>
  <c r="H71" i="3" a="1"/>
  <c r="H71" i="3" s="1"/>
  <c r="I71" i="3" a="1"/>
  <c r="I71" i="3" s="1"/>
  <c r="K71" i="3" a="1"/>
  <c r="K71" i="3" s="1"/>
  <c r="L71" i="3"/>
  <c r="M71" i="3" a="1"/>
  <c r="M71" i="3" s="1"/>
  <c r="A72" i="3" a="1"/>
  <c r="A72" i="3" s="1"/>
  <c r="B72" i="3" a="1"/>
  <c r="B72" i="3" s="1"/>
  <c r="C72" i="3" a="1"/>
  <c r="C72" i="3" s="1"/>
  <c r="D72" i="3" a="1"/>
  <c r="D72" i="3" s="1"/>
  <c r="E72" i="3" a="1"/>
  <c r="E72" i="3" s="1"/>
  <c r="F72" i="3" a="1"/>
  <c r="F72" i="3" s="1"/>
  <c r="G72" i="3" a="1"/>
  <c r="G72" i="3" s="1"/>
  <c r="H72" i="3" a="1"/>
  <c r="H72" i="3" s="1"/>
  <c r="I72" i="3" a="1"/>
  <c r="I72" i="3" s="1"/>
  <c r="K72" i="3" a="1"/>
  <c r="K72" i="3" s="1"/>
  <c r="L72" i="3"/>
  <c r="M72" i="3" a="1"/>
  <c r="M72" i="3" s="1"/>
  <c r="A73" i="3" a="1"/>
  <c r="A73" i="3" s="1"/>
  <c r="B73" i="3" a="1"/>
  <c r="B73" i="3" s="1"/>
  <c r="C73" i="3" a="1"/>
  <c r="C73" i="3" s="1"/>
  <c r="D73" i="3" a="1"/>
  <c r="D73" i="3" s="1"/>
  <c r="E73" i="3" a="1"/>
  <c r="E73" i="3" s="1"/>
  <c r="F73" i="3" a="1"/>
  <c r="F73" i="3" s="1"/>
  <c r="G73" i="3" a="1"/>
  <c r="G73" i="3" s="1"/>
  <c r="H73" i="3" a="1"/>
  <c r="H73" i="3" s="1"/>
  <c r="I73" i="3" a="1"/>
  <c r="I73" i="3" s="1"/>
  <c r="K73" i="3" a="1"/>
  <c r="K73" i="3" s="1"/>
  <c r="L73" i="3" a="1"/>
  <c r="L73" i="3" s="1"/>
  <c r="M73" i="3" a="1"/>
  <c r="M73" i="3" s="1"/>
  <c r="A74" i="3" a="1"/>
  <c r="A74" i="3" s="1"/>
  <c r="B74" i="3" a="1"/>
  <c r="B74" i="3" s="1"/>
  <c r="C74" i="3" a="1"/>
  <c r="C74" i="3" s="1"/>
  <c r="D74" i="3" a="1"/>
  <c r="D74" i="3" s="1"/>
  <c r="E74" i="3" a="1"/>
  <c r="E74" i="3" s="1"/>
  <c r="F74" i="3" a="1"/>
  <c r="F74" i="3" s="1"/>
  <c r="G74" i="3" a="1"/>
  <c r="G74" i="3" s="1"/>
  <c r="H74" i="3" a="1"/>
  <c r="H74" i="3" s="1"/>
  <c r="I74" i="3" a="1"/>
  <c r="I74" i="3" s="1"/>
  <c r="K74" i="3" a="1"/>
  <c r="K74" i="3" s="1"/>
  <c r="L74" i="3" a="1"/>
  <c r="L74" i="3" s="1"/>
  <c r="M74" i="3" a="1"/>
  <c r="M74" i="3" s="1"/>
  <c r="A75" i="3" a="1"/>
  <c r="A75" i="3" s="1"/>
  <c r="B75" i="3" a="1"/>
  <c r="B75" i="3" s="1"/>
  <c r="C75" i="3" a="1"/>
  <c r="C75" i="3" s="1"/>
  <c r="D75" i="3" a="1"/>
  <c r="D75" i="3" s="1"/>
  <c r="E75" i="3" a="1"/>
  <c r="E75" i="3" s="1"/>
  <c r="F75" i="3" a="1"/>
  <c r="F75" i="3" s="1"/>
  <c r="G75" i="3" a="1"/>
  <c r="G75" i="3" s="1"/>
  <c r="H75" i="3" a="1"/>
  <c r="H75" i="3" s="1"/>
  <c r="I75" i="3" a="1"/>
  <c r="I75" i="3" s="1"/>
  <c r="K75" i="3" a="1"/>
  <c r="K75" i="3" s="1"/>
  <c r="L75" i="3"/>
  <c r="M75" i="3" a="1"/>
  <c r="M75" i="3" s="1"/>
  <c r="A76" i="3" a="1"/>
  <c r="A76" i="3" s="1"/>
  <c r="B76" i="3" a="1"/>
  <c r="B76" i="3" s="1"/>
  <c r="C76" i="3" a="1"/>
  <c r="C76" i="3" s="1"/>
  <c r="D76" i="3" a="1"/>
  <c r="D76" i="3" s="1"/>
  <c r="I76" i="3" a="1"/>
  <c r="I76" i="3" s="1"/>
  <c r="L76" i="3"/>
  <c r="A77" i="3" a="1"/>
  <c r="A77" i="3" s="1"/>
  <c r="C77" i="3" a="1"/>
  <c r="C77" i="3" s="1"/>
  <c r="E77" i="3" a="1"/>
  <c r="E77" i="3" s="1"/>
  <c r="H77" i="3" a="1"/>
  <c r="H77" i="3" s="1"/>
  <c r="I77" i="3" a="1"/>
  <c r="I77" i="3" s="1"/>
  <c r="L77" i="3" a="1"/>
  <c r="L77" i="3" s="1"/>
  <c r="A78" i="3" a="1"/>
  <c r="A78" i="3" s="1"/>
  <c r="B78" i="3" a="1"/>
  <c r="B78" i="3" s="1"/>
  <c r="D78" i="3" a="1"/>
  <c r="D78" i="3" s="1"/>
  <c r="F78" i="3" a="1"/>
  <c r="F78" i="3" s="1"/>
  <c r="H78" i="3" a="1"/>
  <c r="H78" i="3" s="1"/>
  <c r="K78" i="3" a="1"/>
  <c r="K78" i="3" s="1"/>
  <c r="M78" i="3" a="1"/>
  <c r="M78" i="3" s="1"/>
  <c r="B79" i="3" a="1"/>
  <c r="B79" i="3" s="1"/>
  <c r="D79" i="3" a="1"/>
  <c r="D79" i="3" s="1"/>
  <c r="E79" i="3" a="1"/>
  <c r="E79" i="3" s="1"/>
  <c r="G79" i="3" a="1"/>
  <c r="G79" i="3" s="1"/>
  <c r="I79" i="3" a="1"/>
  <c r="I79" i="3" s="1"/>
  <c r="L79" i="3" a="1"/>
  <c r="L79" i="3" s="1"/>
  <c r="A80" i="3" a="1"/>
  <c r="A80" i="3" s="1"/>
  <c r="C80" i="3" a="1"/>
  <c r="C80" i="3" s="1"/>
  <c r="E80" i="3" a="1"/>
  <c r="E80" i="3" s="1"/>
  <c r="G80" i="3" a="1"/>
  <c r="G80" i="3" s="1"/>
  <c r="I80" i="3" a="1"/>
  <c r="I80" i="3" s="1"/>
  <c r="K80" i="3" a="1"/>
  <c r="K80" i="3" s="1"/>
  <c r="M80" i="3" a="1"/>
  <c r="M80" i="3" s="1"/>
  <c r="C81" i="3" a="1"/>
  <c r="C81" i="3" s="1"/>
  <c r="E81" i="3" a="1"/>
  <c r="E81" i="3" s="1"/>
  <c r="G81" i="3" a="1"/>
  <c r="G81" i="3" s="1"/>
  <c r="I81" i="3" a="1"/>
  <c r="I81" i="3" s="1"/>
  <c r="L81" i="3"/>
  <c r="A82" i="3" a="1"/>
  <c r="A82" i="3" s="1"/>
  <c r="C82" i="3" a="1"/>
  <c r="C82" i="3" s="1"/>
  <c r="E82" i="3" a="1"/>
  <c r="E82" i="3" s="1"/>
  <c r="G82" i="3" a="1"/>
  <c r="G82" i="3" s="1"/>
  <c r="I82" i="3" a="1"/>
  <c r="I82" i="3" s="1"/>
  <c r="L82" i="3"/>
  <c r="A83" i="3" a="1"/>
  <c r="A83" i="3" s="1"/>
  <c r="C83" i="3" a="1"/>
  <c r="C83" i="3" s="1"/>
  <c r="E83" i="3" a="1"/>
  <c r="E83" i="3" s="1"/>
  <c r="G83" i="3" a="1"/>
  <c r="G83" i="3" s="1"/>
  <c r="I83" i="3" a="1"/>
  <c r="I83" i="3" s="1"/>
  <c r="K83" i="3" a="1"/>
  <c r="K83" i="3" s="1"/>
  <c r="M83" i="3" a="1"/>
  <c r="M83" i="3" s="1"/>
  <c r="C84" i="3" a="1"/>
  <c r="C84" i="3" s="1"/>
  <c r="E84" i="3" a="1"/>
  <c r="E84" i="3" s="1"/>
  <c r="F84" i="3" a="1"/>
  <c r="F84" i="3" s="1"/>
  <c r="I84" i="3" a="1"/>
  <c r="I84" i="3" s="1"/>
  <c r="L84" i="3"/>
  <c r="A85" i="3" a="1"/>
  <c r="A85" i="3" s="1"/>
  <c r="C85" i="3" a="1"/>
  <c r="C85" i="3" s="1"/>
  <c r="E85" i="3" a="1"/>
  <c r="E85" i="3" s="1"/>
  <c r="G85" i="3" a="1"/>
  <c r="G85" i="3" s="1"/>
  <c r="I85" i="3" a="1"/>
  <c r="I85" i="3" s="1"/>
  <c r="L85" i="3" a="1"/>
  <c r="L85" i="3" s="1"/>
  <c r="A86" i="3" a="1"/>
  <c r="A86" i="3" s="1"/>
  <c r="C86" i="3" a="1"/>
  <c r="C86" i="3" s="1"/>
  <c r="E86" i="3" a="1"/>
  <c r="E86" i="3" s="1"/>
  <c r="G86" i="3" a="1"/>
  <c r="G86" i="3" s="1"/>
  <c r="I86" i="3" a="1"/>
  <c r="I86" i="3" s="1"/>
  <c r="L86" i="3"/>
  <c r="A87" i="3" a="1"/>
  <c r="A87" i="3" s="1"/>
  <c r="C87" i="3" a="1"/>
  <c r="C87" i="3" s="1"/>
  <c r="E87" i="3" a="1"/>
  <c r="E87" i="3" s="1"/>
  <c r="G87" i="3" a="1"/>
  <c r="G87" i="3" s="1"/>
  <c r="I87" i="3" a="1"/>
  <c r="I87" i="3" s="1"/>
  <c r="L87" i="3" a="1"/>
  <c r="L87" i="3" s="1"/>
  <c r="A88" i="3" a="1"/>
  <c r="A88" i="3" s="1"/>
  <c r="C88" i="3" a="1"/>
  <c r="C88" i="3" s="1"/>
  <c r="E88" i="3" a="1"/>
  <c r="E88" i="3" s="1"/>
  <c r="G88" i="3" a="1"/>
  <c r="G88" i="3" s="1"/>
  <c r="H88" i="3" a="1"/>
  <c r="H88" i="3" s="1"/>
  <c r="K88" i="3" a="1"/>
  <c r="K88" i="3" s="1"/>
  <c r="M88" i="3" a="1"/>
  <c r="M88" i="3" s="1"/>
  <c r="B89" i="3" a="1"/>
  <c r="B89" i="3" s="1"/>
  <c r="D89" i="3" a="1"/>
  <c r="D89" i="3" s="1"/>
  <c r="F89" i="3" a="1"/>
  <c r="F89" i="3" s="1"/>
  <c r="H89" i="3" a="1"/>
  <c r="H89" i="3" s="1"/>
  <c r="K89" i="3" a="1"/>
  <c r="K89" i="3" s="1"/>
  <c r="M89" i="3" a="1"/>
  <c r="M89" i="3" s="1"/>
  <c r="B90" i="3" a="1"/>
  <c r="B90" i="3" s="1"/>
  <c r="D90" i="3" a="1"/>
  <c r="D90" i="3" s="1"/>
  <c r="F90" i="3" a="1"/>
  <c r="F90" i="3" s="1"/>
  <c r="H90" i="3" a="1"/>
  <c r="H90" i="3" s="1"/>
  <c r="K90" i="3" a="1"/>
  <c r="K90" i="3" s="1"/>
  <c r="M90" i="3" a="1"/>
  <c r="M90" i="3" s="1"/>
  <c r="B91" i="3" a="1"/>
  <c r="B91" i="3" s="1"/>
  <c r="G91" i="3" a="1"/>
  <c r="G91" i="3" s="1"/>
  <c r="I91" i="3" a="1"/>
  <c r="I91" i="3" s="1"/>
  <c r="L91" i="3" a="1"/>
  <c r="L91" i="3" s="1"/>
  <c r="A92" i="3" a="1"/>
  <c r="A92" i="3" s="1"/>
  <c r="C92" i="3" a="1"/>
  <c r="C92" i="3" s="1"/>
  <c r="E92" i="3" a="1"/>
  <c r="E92" i="3" s="1"/>
  <c r="F92" i="3" a="1"/>
  <c r="F92" i="3" s="1"/>
  <c r="H92" i="3" a="1"/>
  <c r="H92" i="3" s="1"/>
  <c r="K92" i="3" a="1"/>
  <c r="K92" i="3" s="1"/>
  <c r="M92" i="3" a="1"/>
  <c r="M92" i="3" s="1"/>
  <c r="B93" i="3" a="1"/>
  <c r="B93" i="3" s="1"/>
  <c r="D93" i="3" a="1"/>
  <c r="D93" i="3" s="1"/>
  <c r="F93" i="3" a="1"/>
  <c r="F93" i="3" s="1"/>
  <c r="H93" i="3" a="1"/>
  <c r="H93" i="3" s="1"/>
  <c r="K93" i="3" a="1"/>
  <c r="K93" i="3" s="1"/>
  <c r="M93" i="3" a="1"/>
  <c r="M93" i="3" s="1"/>
  <c r="B94" i="3" a="1"/>
  <c r="B94" i="3" s="1"/>
  <c r="E94" i="3" a="1"/>
  <c r="E94" i="3" s="1"/>
  <c r="G94" i="3" a="1"/>
  <c r="G94" i="3" s="1"/>
  <c r="I94" i="3" a="1"/>
  <c r="I94" i="3" s="1"/>
  <c r="K94" i="3" a="1"/>
  <c r="K94" i="3" s="1"/>
  <c r="M94" i="3" a="1"/>
  <c r="M94" i="3" s="1"/>
  <c r="B95" i="3" a="1"/>
  <c r="B95" i="3" s="1"/>
  <c r="D95" i="3" a="1"/>
  <c r="D95" i="3" s="1"/>
  <c r="F95" i="3" a="1"/>
  <c r="F95" i="3" s="1"/>
  <c r="H95" i="3" a="1"/>
  <c r="H95" i="3" s="1"/>
  <c r="L95" i="3"/>
  <c r="A96" i="3" a="1"/>
  <c r="A96" i="3" s="1"/>
  <c r="C96" i="3" a="1"/>
  <c r="C96" i="3" s="1"/>
  <c r="E96" i="3" a="1"/>
  <c r="E96" i="3" s="1"/>
  <c r="G96" i="3" a="1"/>
  <c r="G96" i="3" s="1"/>
  <c r="H96" i="3" a="1"/>
  <c r="H96" i="3" s="1"/>
  <c r="L96" i="3"/>
  <c r="A97" i="3" a="1"/>
  <c r="A97" i="3" s="1"/>
  <c r="C97" i="3" a="1"/>
  <c r="C97" i="3" s="1"/>
  <c r="E97" i="3" a="1"/>
  <c r="E97" i="3" s="1"/>
  <c r="G97" i="3" a="1"/>
  <c r="G97" i="3" s="1"/>
  <c r="I97" i="3" a="1"/>
  <c r="I97" i="3" s="1"/>
  <c r="L97" i="3"/>
  <c r="A98" i="3" a="1"/>
  <c r="A98" i="3" s="1"/>
  <c r="C98" i="3" a="1"/>
  <c r="C98" i="3" s="1"/>
  <c r="E98" i="3" a="1"/>
  <c r="E98" i="3" s="1"/>
  <c r="G98" i="3" a="1"/>
  <c r="G98" i="3" s="1"/>
  <c r="I98" i="3" a="1"/>
  <c r="I98" i="3" s="1"/>
  <c r="L98" i="3"/>
  <c r="A99" i="3" a="1"/>
  <c r="A99" i="3" s="1"/>
  <c r="C99" i="3" a="1"/>
  <c r="C99" i="3" s="1"/>
  <c r="E99" i="3" a="1"/>
  <c r="E99" i="3" s="1"/>
  <c r="G99" i="3" a="1"/>
  <c r="G99" i="3" s="1"/>
  <c r="I99" i="3" a="1"/>
  <c r="I99" i="3" s="1"/>
  <c r="K99" i="3" a="1"/>
  <c r="K99" i="3" s="1"/>
  <c r="A100" i="3" a="1"/>
  <c r="A100" i="3" s="1"/>
  <c r="C100" i="3" a="1"/>
  <c r="C100" i="3" s="1"/>
  <c r="E100" i="3" a="1"/>
  <c r="E100" i="3" s="1"/>
  <c r="G100" i="3" a="1"/>
  <c r="G100" i="3" s="1"/>
  <c r="I100" i="3" a="1"/>
  <c r="I100" i="3" s="1"/>
  <c r="L100" i="3"/>
  <c r="A101" i="3" a="1"/>
  <c r="A101" i="3" s="1"/>
  <c r="C101" i="3" a="1"/>
  <c r="C101" i="3" s="1"/>
  <c r="E101" i="3" a="1"/>
  <c r="E101" i="3" s="1"/>
  <c r="G101" i="3" a="1"/>
  <c r="G101" i="3" s="1"/>
  <c r="I101" i="3" a="1"/>
  <c r="I101" i="3" s="1"/>
  <c r="L101" i="3" a="1"/>
  <c r="L101" i="3" s="1"/>
  <c r="A102" i="3" a="1"/>
  <c r="A102" i="3" s="1"/>
  <c r="C102" i="3" a="1"/>
  <c r="C102" i="3" s="1"/>
  <c r="E102" i="3" a="1"/>
  <c r="E102" i="3" s="1"/>
  <c r="G102" i="3" a="1"/>
  <c r="G102" i="3" s="1"/>
  <c r="I102" i="3" a="1"/>
  <c r="I102" i="3" s="1"/>
  <c r="L102" i="3"/>
  <c r="A103" i="3" a="1"/>
  <c r="A103" i="3" s="1"/>
  <c r="C103" i="3" a="1"/>
  <c r="C103" i="3" s="1"/>
  <c r="E103" i="3" a="1"/>
  <c r="E103" i="3" s="1"/>
  <c r="G103" i="3" a="1"/>
  <c r="G103" i="3" s="1"/>
  <c r="I103" i="3" a="1"/>
  <c r="I103" i="3" s="1"/>
  <c r="L103" i="3" a="1"/>
  <c r="L103" i="3" s="1"/>
  <c r="M103" i="3" a="1"/>
  <c r="M103" i="3" s="1"/>
  <c r="B104" i="3" a="1"/>
  <c r="B104" i="3" s="1"/>
  <c r="D104" i="3" a="1"/>
  <c r="D104" i="3" s="1"/>
  <c r="F104" i="3" a="1"/>
  <c r="F104" i="3" s="1"/>
  <c r="H104" i="3" a="1"/>
  <c r="H104" i="3" s="1"/>
  <c r="K104" i="3" a="1"/>
  <c r="K104" i="3" s="1"/>
  <c r="M104" i="3" a="1"/>
  <c r="M104" i="3" s="1"/>
  <c r="B105" i="3" a="1"/>
  <c r="B105" i="3" s="1"/>
  <c r="D105" i="3" a="1"/>
  <c r="D105" i="3" s="1"/>
  <c r="F105" i="3" a="1"/>
  <c r="F105" i="3" s="1"/>
  <c r="H105" i="3" a="1"/>
  <c r="H105" i="3" s="1"/>
  <c r="K105" i="3" a="1"/>
  <c r="K105" i="3" s="1"/>
  <c r="M105" i="3" a="1"/>
  <c r="M105" i="3" s="1"/>
  <c r="E106" i="3" a="1"/>
  <c r="E106" i="3" s="1"/>
  <c r="G106" i="3" a="1"/>
  <c r="G106" i="3" s="1"/>
  <c r="I106" i="3" a="1"/>
  <c r="I106" i="3" s="1"/>
  <c r="L106" i="3" a="1"/>
  <c r="L106" i="3" s="1"/>
  <c r="M106" i="3" a="1"/>
  <c r="M106" i="3" s="1"/>
  <c r="B107" i="3" a="1"/>
  <c r="B107" i="3" s="1"/>
  <c r="D107" i="3" a="1"/>
  <c r="D107" i="3" s="1"/>
  <c r="F107" i="3" a="1"/>
  <c r="F107" i="3" s="1"/>
  <c r="H107" i="3" a="1"/>
  <c r="H107" i="3" s="1"/>
  <c r="K107" i="3" a="1"/>
  <c r="K107" i="3" s="1"/>
  <c r="M107" i="3" a="1"/>
  <c r="M107" i="3" s="1"/>
  <c r="B108" i="3" a="1"/>
  <c r="B108" i="3" s="1"/>
  <c r="D108" i="3" a="1"/>
  <c r="D108" i="3" s="1"/>
  <c r="F108" i="3" a="1"/>
  <c r="F108" i="3" s="1"/>
  <c r="H108" i="3" a="1"/>
  <c r="H108" i="3" s="1"/>
  <c r="K108" i="3" a="1"/>
  <c r="K108" i="3" s="1"/>
  <c r="M108" i="3" a="1"/>
  <c r="M108" i="3" s="1"/>
  <c r="B109" i="3" a="1"/>
  <c r="B109" i="3" s="1"/>
  <c r="D109" i="3" a="1"/>
  <c r="D109" i="3" s="1"/>
  <c r="F109" i="3" a="1"/>
  <c r="F109" i="3" s="1"/>
  <c r="H109" i="3" a="1"/>
  <c r="H109" i="3" s="1"/>
  <c r="K109" i="3" a="1"/>
  <c r="K109" i="3" s="1"/>
  <c r="M109" i="3" a="1"/>
  <c r="M109" i="3" s="1"/>
  <c r="B110" i="3" a="1"/>
  <c r="B110" i="3" s="1"/>
  <c r="D110" i="3" a="1"/>
  <c r="D110" i="3" s="1"/>
  <c r="F110" i="3" a="1"/>
  <c r="F110" i="3" s="1"/>
  <c r="H110" i="3" a="1"/>
  <c r="H110" i="3" s="1"/>
  <c r="L110" i="3"/>
  <c r="A111" i="3" a="1"/>
  <c r="A111" i="3" s="1"/>
  <c r="B111" i="3" a="1"/>
  <c r="B111" i="3" s="1"/>
  <c r="D111" i="3" a="1"/>
  <c r="D111" i="3" s="1"/>
  <c r="F111" i="3" a="1"/>
  <c r="F111" i="3" s="1"/>
  <c r="H111" i="3" a="1"/>
  <c r="H111" i="3" s="1"/>
  <c r="L111" i="3"/>
  <c r="A112" i="3" a="1"/>
  <c r="A112" i="3" s="1"/>
  <c r="C112" i="3" a="1"/>
  <c r="C112" i="3" s="1"/>
  <c r="E112" i="3" a="1"/>
  <c r="E112" i="3" s="1"/>
  <c r="G112" i="3" a="1"/>
  <c r="G112" i="3" s="1"/>
  <c r="H112" i="3" a="1"/>
  <c r="H112" i="3" s="1"/>
  <c r="K112" i="3" a="1"/>
  <c r="K112" i="3" s="1"/>
  <c r="M112" i="3" a="1"/>
  <c r="M112" i="3" s="1"/>
  <c r="B113" i="3" a="1"/>
  <c r="B113" i="3" s="1"/>
  <c r="D113" i="3" a="1"/>
  <c r="D113" i="3" s="1"/>
  <c r="F113" i="3" a="1"/>
  <c r="F113" i="3" s="1"/>
  <c r="H113" i="3" a="1"/>
  <c r="H113" i="3" s="1"/>
  <c r="L113" i="3"/>
  <c r="A114" i="3" a="1"/>
  <c r="A114" i="3" s="1"/>
  <c r="C114" i="3" a="1"/>
  <c r="C114" i="3" s="1"/>
  <c r="E114" i="3" a="1"/>
  <c r="E114" i="3" s="1"/>
  <c r="F114" i="3" a="1"/>
  <c r="F114" i="3" s="1"/>
  <c r="H114" i="3" a="1"/>
  <c r="H114" i="3" s="1"/>
  <c r="K114" i="3" a="1"/>
  <c r="K114" i="3" s="1"/>
  <c r="M114" i="3" a="1"/>
  <c r="M114" i="3" s="1"/>
  <c r="B115" i="3" a="1"/>
  <c r="B115" i="3" s="1"/>
  <c r="D115" i="3" a="1"/>
  <c r="D115" i="3" s="1"/>
  <c r="F115" i="3" a="1"/>
  <c r="F115" i="3" s="1"/>
  <c r="H115" i="3" a="1"/>
  <c r="H115" i="3" s="1"/>
  <c r="I115" i="3" a="1"/>
  <c r="I115" i="3" s="1"/>
  <c r="L115" i="3" a="1"/>
  <c r="L115" i="3" s="1"/>
  <c r="A116" i="3" a="1"/>
  <c r="A116" i="3" s="1"/>
  <c r="C116" i="3" a="1"/>
  <c r="C116" i="3" s="1"/>
  <c r="E116" i="3" a="1"/>
  <c r="E116" i="3" s="1"/>
  <c r="G116" i="3" a="1"/>
  <c r="G116" i="3" s="1"/>
  <c r="I116" i="3" a="1"/>
  <c r="I116" i="3" s="1"/>
  <c r="L116" i="3" a="1"/>
  <c r="L116" i="3" s="1"/>
  <c r="A117" i="3" a="1"/>
  <c r="A117" i="3" s="1"/>
  <c r="C117" i="3" a="1"/>
  <c r="C117" i="3" s="1"/>
  <c r="E117" i="3" a="1"/>
  <c r="E117" i="3" s="1"/>
  <c r="F117" i="3" a="1"/>
  <c r="F117" i="3" s="1"/>
  <c r="H117" i="3" a="1"/>
  <c r="H117" i="3" s="1"/>
  <c r="L117" i="3"/>
  <c r="A118" i="3" a="1"/>
  <c r="A118" i="3" s="1"/>
  <c r="C118" i="3" a="1"/>
  <c r="C118" i="3" s="1"/>
  <c r="E118" i="3" a="1"/>
  <c r="E118" i="3" s="1"/>
  <c r="G118" i="3" a="1"/>
  <c r="G118" i="3" s="1"/>
  <c r="I118" i="3" a="1"/>
  <c r="I118" i="3" s="1"/>
  <c r="L118" i="3"/>
  <c r="A119" i="3" a="1"/>
  <c r="A119" i="3" s="1"/>
  <c r="C119" i="3" a="1"/>
  <c r="C119" i="3" s="1"/>
  <c r="E119" i="3" a="1"/>
  <c r="E119" i="3" s="1"/>
  <c r="G119" i="3" a="1"/>
  <c r="G119" i="3" s="1"/>
  <c r="I119" i="3" a="1"/>
  <c r="I119" i="3" s="1"/>
  <c r="L119" i="3" a="1"/>
  <c r="L119" i="3" s="1"/>
  <c r="M119" i="3" a="1"/>
  <c r="M119" i="3" s="1"/>
  <c r="B120" i="3" a="1"/>
  <c r="B120" i="3" s="1"/>
  <c r="D120" i="3" a="1"/>
  <c r="D120" i="3" s="1"/>
  <c r="F120" i="3" a="1"/>
  <c r="F120" i="3" s="1"/>
  <c r="H120" i="3" a="1"/>
  <c r="H120" i="3" s="1"/>
  <c r="K120" i="3" a="1"/>
  <c r="K120" i="3" s="1"/>
  <c r="M120" i="3" a="1"/>
  <c r="M120" i="3" s="1"/>
  <c r="E121" i="3" a="1"/>
  <c r="E121" i="3" s="1"/>
  <c r="G121" i="3" a="1"/>
  <c r="G121" i="3" s="1"/>
  <c r="I121" i="3" a="1"/>
  <c r="I121" i="3" s="1"/>
  <c r="L121" i="3"/>
  <c r="A122" i="3" a="1"/>
  <c r="A122" i="3" s="1"/>
  <c r="C122" i="3" a="1"/>
  <c r="C122" i="3" s="1"/>
  <c r="E122" i="3" a="1"/>
  <c r="E122" i="3" s="1"/>
  <c r="G122" i="3" a="1"/>
  <c r="G122" i="3" s="1"/>
  <c r="I122" i="3" a="1"/>
  <c r="I122" i="3" s="1"/>
  <c r="K122" i="3" a="1"/>
  <c r="K122" i="3" s="1"/>
  <c r="A123" i="3" a="1"/>
  <c r="A123" i="3" s="1"/>
  <c r="C123" i="3" a="1"/>
  <c r="C123" i="3" s="1"/>
  <c r="E123" i="3" a="1"/>
  <c r="E123" i="3" s="1"/>
  <c r="G123" i="3" a="1"/>
  <c r="G123" i="3" s="1"/>
  <c r="I123" i="3" a="1"/>
  <c r="I123" i="3" s="1"/>
  <c r="K123" i="3" a="1"/>
  <c r="K123" i="3" s="1"/>
  <c r="M123" i="3" a="1"/>
  <c r="M123" i="3" s="1"/>
  <c r="B124" i="3" a="1"/>
  <c r="B124" i="3" s="1"/>
  <c r="D124" i="3" a="1"/>
  <c r="D124" i="3" s="1"/>
  <c r="F124" i="3" a="1"/>
  <c r="F124" i="3" s="1"/>
  <c r="H124" i="3" a="1"/>
  <c r="H124" i="3" s="1"/>
  <c r="L124" i="3"/>
  <c r="A125" i="3" a="1"/>
  <c r="A125" i="3" s="1"/>
  <c r="C125" i="3" a="1"/>
  <c r="C125" i="3" s="1"/>
  <c r="E125" i="3" a="1"/>
  <c r="E125" i="3" s="1"/>
  <c r="G125" i="3" a="1"/>
  <c r="G125" i="3" s="1"/>
  <c r="I125" i="3" a="1"/>
  <c r="I125" i="3" s="1"/>
  <c r="K125" i="3" a="1"/>
  <c r="K125" i="3" s="1"/>
  <c r="M125" i="3" a="1"/>
  <c r="M125" i="3" s="1"/>
  <c r="B126" i="3" a="1"/>
  <c r="B126" i="3" s="1"/>
  <c r="D126" i="3" a="1"/>
  <c r="D126" i="3" s="1"/>
  <c r="F126" i="3" a="1"/>
  <c r="F126" i="3" s="1"/>
  <c r="H126" i="3" a="1"/>
  <c r="H126" i="3" s="1"/>
  <c r="K126" i="3" a="1"/>
  <c r="K126" i="3" s="1"/>
  <c r="A127" i="3" a="1"/>
  <c r="A127" i="3" s="1"/>
  <c r="C127" i="3" a="1"/>
  <c r="C127" i="3" s="1"/>
  <c r="D127" i="3" a="1"/>
  <c r="D127" i="3" s="1"/>
  <c r="F127" i="3" a="1"/>
  <c r="F127" i="3" s="1"/>
  <c r="H127" i="3" a="1"/>
  <c r="H127" i="3" s="1"/>
  <c r="L127" i="3"/>
  <c r="A128" i="3" a="1"/>
  <c r="A128" i="3" s="1"/>
  <c r="C128" i="3" a="1"/>
  <c r="C128" i="3" s="1"/>
  <c r="E128" i="3" a="1"/>
  <c r="E128" i="3" s="1"/>
  <c r="G128" i="3" a="1"/>
  <c r="G128" i="3" s="1"/>
  <c r="I128" i="3" a="1"/>
  <c r="I128" i="3" s="1"/>
  <c r="L128" i="3" a="1"/>
  <c r="L128" i="3" s="1"/>
  <c r="A129" i="3" a="1"/>
  <c r="A129" i="3" s="1"/>
  <c r="C129" i="3" a="1"/>
  <c r="C129" i="3" s="1"/>
  <c r="E129" i="3" a="1"/>
  <c r="E129" i="3" s="1"/>
  <c r="G129" i="3" a="1"/>
  <c r="G129" i="3" s="1"/>
  <c r="I129" i="3" a="1"/>
  <c r="I129" i="3" s="1"/>
  <c r="L129" i="3"/>
  <c r="A130" i="3" a="1"/>
  <c r="A130" i="3" s="1"/>
  <c r="C130" i="3" a="1"/>
  <c r="C130" i="3" s="1"/>
  <c r="E130" i="3" a="1"/>
  <c r="E130" i="3" s="1"/>
  <c r="G130" i="3" a="1"/>
  <c r="G130" i="3" s="1"/>
  <c r="I130" i="3" a="1"/>
  <c r="I130" i="3" s="1"/>
  <c r="L130" i="3"/>
  <c r="A131" i="3" a="1"/>
  <c r="A131" i="3" s="1"/>
  <c r="C131" i="3" a="1"/>
  <c r="C131" i="3" s="1"/>
  <c r="E131" i="3" a="1"/>
  <c r="E131" i="3" s="1"/>
  <c r="G131" i="3" a="1"/>
  <c r="G131" i="3" s="1"/>
  <c r="I131" i="3" a="1"/>
  <c r="I131" i="3" s="1"/>
  <c r="L131" i="3" a="1"/>
  <c r="L131" i="3" s="1"/>
  <c r="A132" i="3" a="1"/>
  <c r="A132" i="3" s="1"/>
  <c r="C132" i="3" a="1"/>
  <c r="C132" i="3" s="1"/>
  <c r="E132" i="3" a="1"/>
  <c r="E132" i="3" s="1"/>
  <c r="G132" i="3" a="1"/>
  <c r="G132" i="3" s="1"/>
  <c r="H132" i="3" a="1"/>
  <c r="H132" i="3" s="1"/>
  <c r="K132" i="3" a="1"/>
  <c r="K132" i="3" s="1"/>
  <c r="M132" i="3" a="1"/>
  <c r="M132" i="3" s="1"/>
  <c r="B133" i="3" a="1"/>
  <c r="B133" i="3" s="1"/>
  <c r="D133" i="3" a="1"/>
  <c r="D133" i="3" s="1"/>
  <c r="F133" i="3" a="1"/>
  <c r="F133" i="3" s="1"/>
  <c r="H133" i="3" a="1"/>
  <c r="H133" i="3" s="1"/>
  <c r="K133" i="3" a="1"/>
  <c r="K133" i="3" s="1"/>
  <c r="M133" i="3" a="1"/>
  <c r="M133" i="3" s="1"/>
  <c r="B134" i="3" a="1"/>
  <c r="B134" i="3" s="1"/>
  <c r="D134" i="3" a="1"/>
  <c r="D134" i="3" s="1"/>
  <c r="F134" i="3" a="1"/>
  <c r="F134" i="3" s="1"/>
  <c r="H134" i="3" a="1"/>
  <c r="H134" i="3" s="1"/>
  <c r="K134" i="3" a="1"/>
  <c r="K134" i="3" s="1"/>
  <c r="M134" i="3" a="1"/>
  <c r="M134" i="3" s="1"/>
  <c r="B135" i="3" a="1"/>
  <c r="B135" i="3" s="1"/>
  <c r="D135" i="3" a="1"/>
  <c r="D135" i="3" s="1"/>
  <c r="F135" i="3" a="1"/>
  <c r="F135" i="3" s="1"/>
  <c r="H135" i="3" a="1"/>
  <c r="H135" i="3" s="1"/>
  <c r="K135" i="3" a="1"/>
  <c r="K135" i="3" s="1"/>
  <c r="C136" i="3" a="1"/>
  <c r="C136" i="3" s="1"/>
  <c r="E136" i="3" a="1"/>
  <c r="E136" i="3" s="1"/>
  <c r="G136" i="3" a="1"/>
  <c r="G136" i="3" s="1"/>
  <c r="I136" i="3" a="1"/>
  <c r="I136" i="3" s="1"/>
  <c r="L136" i="3"/>
  <c r="A137" i="3" a="1"/>
  <c r="A137" i="3" s="1"/>
  <c r="C137" i="3" a="1"/>
  <c r="C137" i="3" s="1"/>
  <c r="E137" i="3" a="1"/>
  <c r="E137" i="3" s="1"/>
  <c r="G137" i="3" a="1"/>
  <c r="G137" i="3" s="1"/>
  <c r="I137" i="3" a="1"/>
  <c r="I137" i="3" s="1"/>
  <c r="L137" i="3"/>
  <c r="A138" i="3" a="1"/>
  <c r="A138" i="3" s="1"/>
  <c r="C138" i="3" a="1"/>
  <c r="C138" i="3" s="1"/>
  <c r="E138" i="3" a="1"/>
  <c r="E138" i="3" s="1"/>
  <c r="G138" i="3" a="1"/>
  <c r="G138" i="3" s="1"/>
  <c r="I138" i="3" a="1"/>
  <c r="I138" i="3" s="1"/>
  <c r="L138" i="3"/>
  <c r="A139" i="3" a="1"/>
  <c r="A139" i="3" s="1"/>
  <c r="C139" i="3" a="1"/>
  <c r="C139" i="3" s="1"/>
  <c r="E139" i="3" a="1"/>
  <c r="E139" i="3" s="1"/>
  <c r="G139" i="3" a="1"/>
  <c r="G139" i="3" s="1"/>
  <c r="I139" i="3" a="1"/>
  <c r="I139" i="3" s="1"/>
  <c r="L139" i="3" a="1"/>
  <c r="L139" i="3" s="1"/>
  <c r="A140" i="3" a="1"/>
  <c r="A140" i="3" s="1"/>
  <c r="C140" i="3" a="1"/>
  <c r="C140" i="3" s="1"/>
  <c r="E140" i="3" a="1"/>
  <c r="E140" i="3" s="1"/>
  <c r="G140" i="3" a="1"/>
  <c r="G140" i="3" s="1"/>
  <c r="I140" i="3" a="1"/>
  <c r="I140" i="3" s="1"/>
  <c r="L140" i="3" a="1"/>
  <c r="L140" i="3" s="1"/>
  <c r="A141" i="3" a="1"/>
  <c r="A141" i="3" s="1"/>
  <c r="C141" i="3" a="1"/>
  <c r="C141" i="3" s="1"/>
  <c r="E141" i="3" a="1"/>
  <c r="E141" i="3" s="1"/>
  <c r="G141" i="3" a="1"/>
  <c r="G141" i="3" s="1"/>
  <c r="H141" i="3" a="1"/>
  <c r="H141" i="3" s="1"/>
  <c r="K141" i="3" a="1"/>
  <c r="K141" i="3" s="1"/>
  <c r="M141" i="3" a="1"/>
  <c r="M141" i="3" s="1"/>
  <c r="B142" i="3" a="1"/>
  <c r="B142" i="3" s="1"/>
  <c r="D142" i="3" a="1"/>
  <c r="D142" i="3" s="1"/>
  <c r="F142" i="3" a="1"/>
  <c r="F142" i="3" s="1"/>
  <c r="H142" i="3" a="1"/>
  <c r="H142" i="3" s="1"/>
  <c r="K142" i="3" a="1"/>
  <c r="K142" i="3" s="1"/>
  <c r="M142" i="3" a="1"/>
  <c r="M142" i="3" s="1"/>
  <c r="B143" i="3" a="1"/>
  <c r="B143" i="3" s="1"/>
  <c r="D143" i="3" a="1"/>
  <c r="D143" i="3" s="1"/>
  <c r="F143" i="3" a="1"/>
  <c r="F143" i="3" s="1"/>
  <c r="H143" i="3" a="1"/>
  <c r="H143" i="3" s="1"/>
  <c r="K143" i="3" a="1"/>
  <c r="K143" i="3" s="1"/>
  <c r="M143" i="3" a="1"/>
  <c r="M143" i="3" s="1"/>
  <c r="B144" i="3" a="1"/>
  <c r="B144" i="3" s="1"/>
  <c r="D144" i="3" a="1"/>
  <c r="D144" i="3" s="1"/>
  <c r="F144" i="3" a="1"/>
  <c r="F144" i="3" s="1"/>
  <c r="H144" i="3" a="1"/>
  <c r="H144" i="3" s="1"/>
  <c r="K144" i="3" a="1"/>
  <c r="K144" i="3" s="1"/>
  <c r="M144" i="3" a="1"/>
  <c r="M144" i="3" s="1"/>
  <c r="B145" i="3" a="1"/>
  <c r="B145" i="3" s="1"/>
  <c r="D145" i="3" a="1"/>
  <c r="D145" i="3" s="1"/>
  <c r="F145" i="3" a="1"/>
  <c r="F145" i="3" s="1"/>
  <c r="H145" i="3" a="1"/>
  <c r="H145" i="3" s="1"/>
  <c r="L145" i="3"/>
  <c r="A146" i="3" a="1"/>
  <c r="A146" i="3" s="1"/>
  <c r="C146" i="3" a="1"/>
  <c r="C146" i="3" s="1"/>
  <c r="E146" i="3" a="1"/>
  <c r="E146" i="3" s="1"/>
  <c r="G146" i="3" a="1"/>
  <c r="G146" i="3" s="1"/>
  <c r="I146" i="3" a="1"/>
  <c r="I146" i="3" s="1"/>
  <c r="K146" i="3" a="1"/>
  <c r="K146" i="3" s="1"/>
  <c r="M146" i="3" a="1"/>
  <c r="M146" i="3" s="1"/>
  <c r="B147" i="3" a="1"/>
  <c r="B147" i="3" s="1"/>
  <c r="D147" i="3" a="1"/>
  <c r="D147" i="3" s="1"/>
  <c r="F147" i="3" a="1"/>
  <c r="F147" i="3" s="1"/>
  <c r="I147" i="3" a="1"/>
  <c r="I147" i="3" s="1"/>
  <c r="L147" i="3"/>
  <c r="A148" i="3" a="1"/>
  <c r="A148" i="3" s="1"/>
  <c r="C148" i="3" a="1"/>
  <c r="C148" i="3" s="1"/>
  <c r="E148" i="3" a="1"/>
  <c r="E148" i="3" s="1"/>
  <c r="G148" i="3" a="1"/>
  <c r="G148" i="3" s="1"/>
  <c r="H148" i="3" a="1"/>
  <c r="H148" i="3" s="1"/>
  <c r="L148" i="3"/>
  <c r="A149" i="3" a="1"/>
  <c r="A149" i="3" s="1"/>
  <c r="C149" i="3" a="1"/>
  <c r="C149" i="3" s="1"/>
  <c r="E149" i="3" a="1"/>
  <c r="E149" i="3" s="1"/>
  <c r="L149" i="3"/>
  <c r="A150" i="3" a="1"/>
  <c r="A150" i="3" s="1"/>
  <c r="B150" i="3" a="1"/>
  <c r="B150" i="3" s="1"/>
  <c r="D150" i="3" a="1"/>
  <c r="D150" i="3" s="1"/>
  <c r="F150" i="3" a="1"/>
  <c r="F150" i="3" s="1"/>
  <c r="H150" i="3" a="1"/>
  <c r="H150" i="3" s="1"/>
  <c r="K150" i="3" a="1"/>
  <c r="K150" i="3" s="1"/>
  <c r="F157" i="3" a="1"/>
  <c r="F157" i="3" s="1"/>
  <c r="H157" i="3" a="1"/>
  <c r="H157" i="3" s="1"/>
  <c r="K157" i="3" a="1"/>
  <c r="K157" i="3" s="1"/>
  <c r="M157" i="3" a="1"/>
  <c r="M157" i="3" s="1"/>
  <c r="B158" i="3" a="1"/>
  <c r="B158" i="3" s="1"/>
  <c r="C158" i="3" a="1"/>
  <c r="C158" i="3" s="1"/>
  <c r="E158" i="3" a="1"/>
  <c r="E158" i="3" s="1"/>
  <c r="G158" i="3" a="1"/>
  <c r="G158" i="3" s="1"/>
  <c r="I158" i="3" a="1"/>
  <c r="I158" i="3" s="1"/>
  <c r="L158" i="3" a="1"/>
  <c r="L158" i="3" s="1"/>
  <c r="A159" i="3" a="1"/>
  <c r="A159" i="3" s="1"/>
  <c r="C159" i="3" a="1"/>
  <c r="C159" i="3" s="1"/>
  <c r="E159" i="3" a="1"/>
  <c r="E159" i="3" s="1"/>
  <c r="G159" i="3" a="1"/>
  <c r="G159" i="3" s="1"/>
  <c r="K159" i="3" a="1"/>
  <c r="K159" i="3" s="1"/>
  <c r="M159" i="3" a="1"/>
  <c r="M159" i="3" s="1"/>
  <c r="A160" i="3" a="1"/>
  <c r="A160" i="3" s="1"/>
  <c r="C160" i="3" a="1"/>
  <c r="C160" i="3" s="1"/>
  <c r="E160" i="3" a="1"/>
  <c r="E160" i="3" s="1"/>
  <c r="G160" i="3" a="1"/>
  <c r="G160" i="3" s="1"/>
  <c r="I160" i="3" a="1"/>
  <c r="I160" i="3" s="1"/>
  <c r="L160" i="3" a="1"/>
  <c r="L160" i="3" s="1"/>
  <c r="B161" i="3" a="1"/>
  <c r="B161" i="3" s="1"/>
  <c r="D161" i="3" a="1"/>
  <c r="D161" i="3" s="1"/>
  <c r="F161" i="3" a="1"/>
  <c r="F161" i="3" s="1"/>
  <c r="H161" i="3" a="1"/>
  <c r="H161" i="3" s="1"/>
  <c r="I161" i="3" a="1"/>
  <c r="I161" i="3" s="1"/>
  <c r="M161" i="3" a="1"/>
  <c r="M161" i="3" s="1"/>
  <c r="B162" i="3" a="1"/>
  <c r="B162" i="3" s="1"/>
  <c r="D162" i="3" a="1"/>
  <c r="D162" i="3" s="1"/>
  <c r="F162" i="3" a="1"/>
  <c r="F162" i="3" s="1"/>
  <c r="H162" i="3" a="1"/>
  <c r="H162" i="3" s="1"/>
  <c r="K162" i="3" a="1"/>
  <c r="K162" i="3" s="1"/>
  <c r="M162" i="3" a="1"/>
  <c r="M162" i="3" s="1"/>
  <c r="B163" i="3" a="1"/>
  <c r="B163" i="3" s="1"/>
  <c r="D163" i="3" a="1"/>
  <c r="D163" i="3" s="1"/>
  <c r="E163" i="3" a="1"/>
  <c r="E163" i="3" s="1"/>
  <c r="G163" i="3" a="1"/>
  <c r="G163" i="3" s="1"/>
  <c r="I163" i="3" a="1"/>
  <c r="I163" i="3" s="1"/>
  <c r="L163" i="3" a="1"/>
  <c r="L163" i="3" s="1"/>
  <c r="A164" i="3" a="1"/>
  <c r="A164" i="3" s="1"/>
  <c r="D164" i="3" a="1"/>
  <c r="D164" i="3" s="1"/>
  <c r="F164" i="3" a="1"/>
  <c r="F164" i="3" s="1"/>
  <c r="H164" i="3" a="1"/>
  <c r="H164" i="3" s="1"/>
  <c r="K164" i="3" a="1"/>
  <c r="K164" i="3" s="1"/>
  <c r="M164" i="3" a="1"/>
  <c r="M164" i="3" s="1"/>
  <c r="B165" i="3" a="1"/>
  <c r="B165" i="3" s="1"/>
  <c r="D165" i="3" a="1"/>
  <c r="D165" i="3" s="1"/>
  <c r="F165" i="3" a="1"/>
  <c r="F165" i="3" s="1"/>
  <c r="H165" i="3" a="1"/>
  <c r="H165" i="3" s="1"/>
  <c r="I165" i="3" a="1"/>
  <c r="I165" i="3" s="1"/>
  <c r="L165" i="3" a="1"/>
  <c r="L165" i="3" s="1"/>
  <c r="B166" i="3" a="1"/>
  <c r="B166" i="3" s="1"/>
  <c r="C166" i="3" a="1"/>
  <c r="C166" i="3" s="1"/>
  <c r="E166" i="3" a="1"/>
  <c r="E166" i="3" s="1"/>
  <c r="G166" i="3" a="1"/>
  <c r="G166" i="3" s="1"/>
  <c r="K166" i="3" a="1"/>
  <c r="K166" i="3" s="1"/>
  <c r="M166" i="3" a="1"/>
  <c r="M166" i="3" s="1"/>
  <c r="B167" i="3" a="1"/>
  <c r="B167" i="3" s="1"/>
  <c r="D167" i="3" a="1"/>
  <c r="D167" i="3" s="1"/>
  <c r="E167" i="3" a="1"/>
  <c r="E167" i="3" s="1"/>
  <c r="G167" i="3" a="1"/>
  <c r="G167" i="3" s="1"/>
  <c r="I167" i="3" a="1"/>
  <c r="I167" i="3" s="1"/>
  <c r="L167" i="3" a="1"/>
  <c r="L167" i="3" s="1"/>
  <c r="A168" i="3" a="1"/>
  <c r="A168" i="3" s="1"/>
  <c r="C168" i="3" a="1"/>
  <c r="C168" i="3" s="1"/>
  <c r="E168" i="3" a="1"/>
  <c r="E168" i="3" s="1"/>
  <c r="G168" i="3" a="1"/>
  <c r="G168" i="3" s="1"/>
  <c r="I168" i="3" a="1"/>
  <c r="I168" i="3" s="1"/>
  <c r="L168" i="3" a="1"/>
  <c r="L168" i="3" s="1"/>
  <c r="A169" i="3" a="1"/>
  <c r="A169" i="3" s="1"/>
  <c r="C169" i="3" a="1"/>
  <c r="C169" i="3" s="1"/>
  <c r="E169" i="3" a="1"/>
  <c r="E169" i="3" s="1"/>
  <c r="G169" i="3" a="1"/>
  <c r="G169" i="3" s="1"/>
  <c r="I169" i="3" a="1"/>
  <c r="I169" i="3" s="1"/>
  <c r="L169" i="3" a="1"/>
  <c r="L169" i="3" s="1"/>
  <c r="A170" i="3" a="1"/>
  <c r="A170" i="3" s="1"/>
  <c r="C170" i="3" a="1"/>
  <c r="C170" i="3" s="1"/>
  <c r="E170" i="3" a="1"/>
  <c r="E170" i="3" s="1"/>
  <c r="F170" i="3" a="1"/>
  <c r="F170" i="3" s="1"/>
  <c r="H170" i="3" a="1"/>
  <c r="H170" i="3" s="1"/>
  <c r="K170" i="3" a="1"/>
  <c r="K170" i="3" s="1"/>
  <c r="M170" i="3" a="1"/>
  <c r="M170" i="3" s="1"/>
  <c r="B171" i="3" a="1"/>
  <c r="B171" i="3" s="1"/>
  <c r="D171" i="3" a="1"/>
  <c r="D171" i="3" s="1"/>
  <c r="F171" i="3" a="1"/>
  <c r="F171" i="3" s="1"/>
  <c r="H171" i="3" a="1"/>
  <c r="H171" i="3" s="1"/>
  <c r="K171" i="3" a="1"/>
  <c r="K171" i="3" s="1"/>
  <c r="M171" i="3" a="1"/>
  <c r="M171" i="3" s="1"/>
  <c r="A172" i="3" a="1"/>
  <c r="A172" i="3" s="1"/>
  <c r="C172" i="3" a="1"/>
  <c r="C172" i="3" s="1"/>
  <c r="E172" i="3" a="1"/>
  <c r="E172" i="3" s="1"/>
  <c r="F172" i="3" a="1"/>
  <c r="F172" i="3" s="1"/>
  <c r="H172" i="3" a="1"/>
  <c r="H172" i="3" s="1"/>
  <c r="K172" i="3" a="1"/>
  <c r="K172" i="3" s="1"/>
  <c r="M172" i="3" a="1"/>
  <c r="M172" i="3" s="1"/>
  <c r="B173" i="3" a="1"/>
  <c r="B173" i="3" s="1"/>
  <c r="D173" i="3" a="1"/>
  <c r="D173" i="3" s="1"/>
  <c r="F173" i="3" a="1"/>
  <c r="F173" i="3" s="1"/>
  <c r="H173" i="3" a="1"/>
  <c r="H173" i="3" s="1"/>
  <c r="K173" i="3" a="1"/>
  <c r="K173" i="3" s="1"/>
  <c r="M173" i="3" a="1"/>
  <c r="M173" i="3" s="1"/>
  <c r="B174" i="3" a="1"/>
  <c r="B174" i="3" s="1"/>
  <c r="D174" i="3" a="1"/>
  <c r="D174" i="3" s="1"/>
  <c r="F174" i="3" a="1"/>
  <c r="F174" i="3" s="1"/>
  <c r="G174" i="3" a="1"/>
  <c r="G174" i="3" s="1"/>
  <c r="I174" i="3" a="1"/>
  <c r="I174" i="3" s="1"/>
  <c r="L174" i="3" a="1"/>
  <c r="L174" i="3" s="1"/>
  <c r="A175" i="3" a="1"/>
  <c r="A175" i="3" s="1"/>
  <c r="C175" i="3" a="1"/>
  <c r="C175" i="3" s="1"/>
  <c r="E175" i="3" a="1"/>
  <c r="E175" i="3" s="1"/>
  <c r="G175" i="3" a="1"/>
  <c r="G175" i="3" s="1"/>
  <c r="I175" i="3" a="1"/>
  <c r="I175" i="3" s="1"/>
  <c r="L175" i="3" a="1"/>
  <c r="L175" i="3" s="1"/>
  <c r="A176" i="3" a="1"/>
  <c r="A176" i="3" s="1"/>
  <c r="C176" i="3" a="1"/>
  <c r="C176" i="3" s="1"/>
  <c r="E176" i="3" a="1"/>
  <c r="E176" i="3" s="1"/>
  <c r="G176" i="3" a="1"/>
  <c r="G176" i="3" s="1"/>
  <c r="I176" i="3" a="1"/>
  <c r="I176" i="3" s="1"/>
  <c r="L176" i="3" a="1"/>
  <c r="L176" i="3" s="1"/>
  <c r="A177" i="3" a="1"/>
  <c r="A177" i="3" s="1"/>
  <c r="C177" i="3" a="1"/>
  <c r="C177" i="3" s="1"/>
  <c r="E177" i="3" a="1"/>
  <c r="E177" i="3" s="1"/>
  <c r="G177" i="3" a="1"/>
  <c r="G177" i="3" s="1"/>
  <c r="I177" i="3" a="1"/>
  <c r="I177" i="3" s="1"/>
  <c r="L177" i="3" a="1"/>
  <c r="L177" i="3" s="1"/>
  <c r="A178" i="3" a="1"/>
  <c r="A178" i="3" s="1"/>
  <c r="B178" i="3" a="1"/>
  <c r="B178" i="3" s="1"/>
  <c r="D178" i="3" a="1"/>
  <c r="D178" i="3" s="1"/>
  <c r="F178" i="3" a="1"/>
  <c r="F178" i="3" s="1"/>
  <c r="H178" i="3" a="1"/>
  <c r="H178" i="3" s="1"/>
  <c r="K178" i="3" a="1"/>
  <c r="K178" i="3" s="1"/>
  <c r="M178" i="3" a="1"/>
  <c r="M178" i="3" s="1"/>
  <c r="B179" i="3" a="1"/>
  <c r="B179" i="3" s="1"/>
  <c r="D179" i="3" a="1"/>
  <c r="D179" i="3" s="1"/>
  <c r="F179" i="3" a="1"/>
  <c r="F179" i="3" s="1"/>
  <c r="H179" i="3" a="1"/>
  <c r="H179" i="3" s="1"/>
  <c r="K179" i="3" a="1"/>
  <c r="K179" i="3" s="1"/>
  <c r="M179" i="3" a="1"/>
  <c r="M179" i="3" s="1"/>
  <c r="B180" i="3" a="1"/>
  <c r="B180" i="3" s="1"/>
  <c r="D180" i="3" a="1"/>
  <c r="D180" i="3" s="1"/>
  <c r="F180" i="3" a="1"/>
  <c r="F180" i="3" s="1"/>
  <c r="H180" i="3" a="1"/>
  <c r="H180" i="3" s="1"/>
  <c r="K180" i="3" a="1"/>
  <c r="K180" i="3" s="1"/>
  <c r="M180" i="3" a="1"/>
  <c r="M180" i="3" s="1"/>
  <c r="B181" i="3" a="1"/>
  <c r="B181" i="3" s="1"/>
  <c r="D181" i="3" a="1"/>
  <c r="D181" i="3" s="1"/>
  <c r="F181" i="3" a="1"/>
  <c r="F181" i="3" s="1"/>
  <c r="H181" i="3" a="1"/>
  <c r="H181" i="3" s="1"/>
  <c r="K181" i="3" a="1"/>
  <c r="K181" i="3" s="1"/>
  <c r="M181" i="3" a="1"/>
  <c r="M181" i="3" s="1"/>
  <c r="B182" i="3" a="1"/>
  <c r="B182" i="3" s="1"/>
  <c r="D182" i="3" a="1"/>
  <c r="D182" i="3" s="1"/>
  <c r="F182" i="3" a="1"/>
  <c r="F182" i="3" s="1"/>
  <c r="H182" i="3" a="1"/>
  <c r="H182" i="3" s="1"/>
  <c r="K182" i="3" a="1"/>
  <c r="K182" i="3" s="1"/>
  <c r="M182" i="3" a="1"/>
  <c r="M182" i="3" s="1"/>
  <c r="B183" i="3" a="1"/>
  <c r="B183" i="3" s="1"/>
  <c r="D183" i="3" a="1"/>
  <c r="D183" i="3" s="1"/>
  <c r="F183" i="3" a="1"/>
  <c r="F183" i="3" s="1"/>
  <c r="G183" i="3" a="1"/>
  <c r="G183" i="3" s="1"/>
  <c r="I183" i="3" a="1"/>
  <c r="I183" i="3" s="1"/>
  <c r="L183" i="3" a="1"/>
  <c r="L183" i="3" s="1"/>
  <c r="A184" i="3" a="1"/>
  <c r="A184" i="3" s="1"/>
  <c r="C184" i="3" a="1"/>
  <c r="C184" i="3" s="1"/>
  <c r="E184" i="3" a="1"/>
  <c r="E184" i="3" s="1"/>
  <c r="G184" i="3" a="1"/>
  <c r="G184" i="3" s="1"/>
  <c r="I184" i="3" a="1"/>
  <c r="I184" i="3" s="1"/>
  <c r="L184" i="3" a="1"/>
  <c r="L184" i="3" s="1"/>
  <c r="A185" i="3" a="1"/>
  <c r="A185" i="3" s="1"/>
  <c r="C185" i="3" a="1"/>
  <c r="C185" i="3" s="1"/>
  <c r="E185" i="3" a="1"/>
  <c r="E185" i="3" s="1"/>
  <c r="G185" i="3" a="1"/>
  <c r="G185" i="3" s="1"/>
  <c r="I185" i="3" a="1"/>
  <c r="I185" i="3" s="1"/>
  <c r="L185" i="3" a="1"/>
  <c r="L185" i="3" s="1"/>
  <c r="A186" i="3" a="1"/>
  <c r="A186" i="3" s="1"/>
  <c r="C186" i="3" a="1"/>
  <c r="C186" i="3" s="1"/>
  <c r="E186" i="3" a="1"/>
  <c r="E186" i="3" s="1"/>
  <c r="G186" i="3" a="1"/>
  <c r="G186" i="3" s="1"/>
  <c r="I186" i="3" a="1"/>
  <c r="I186" i="3" s="1"/>
  <c r="L186" i="3" a="1"/>
  <c r="L186" i="3" s="1"/>
  <c r="M186" i="3" a="1"/>
  <c r="M186" i="3" s="1"/>
  <c r="B187" i="3" a="1"/>
  <c r="B187" i="3" s="1"/>
  <c r="D187" i="3" a="1"/>
  <c r="D187" i="3" s="1"/>
  <c r="F187" i="3" a="1"/>
  <c r="F187" i="3" s="1"/>
  <c r="H187" i="3" a="1"/>
  <c r="H187" i="3" s="1"/>
  <c r="K187" i="3" a="1"/>
  <c r="K187" i="3" s="1"/>
  <c r="M187" i="3" a="1"/>
  <c r="M187" i="3" s="1"/>
  <c r="B188" i="3" a="1"/>
  <c r="B188" i="3" s="1"/>
  <c r="C188" i="3" a="1"/>
  <c r="C188" i="3" s="1"/>
  <c r="E188" i="3" a="1"/>
  <c r="E188" i="3" s="1"/>
  <c r="G188" i="3" a="1"/>
  <c r="G188" i="3" s="1"/>
  <c r="I188" i="3" a="1"/>
  <c r="I188" i="3" s="1"/>
  <c r="L188" i="3" a="1"/>
  <c r="L188" i="3" s="1"/>
  <c r="A189" i="3" a="1"/>
  <c r="A189" i="3" s="1"/>
  <c r="C189" i="3" a="1"/>
  <c r="C189" i="3" s="1"/>
  <c r="E189" i="3" a="1"/>
  <c r="E189" i="3" s="1"/>
  <c r="G189" i="3" a="1"/>
  <c r="G189" i="3" s="1"/>
  <c r="I189" i="3" a="1"/>
  <c r="I189" i="3" s="1"/>
  <c r="L189" i="3" a="1"/>
  <c r="L189" i="3" s="1"/>
  <c r="A190" i="3" a="1"/>
  <c r="A190" i="3" s="1"/>
  <c r="C190" i="3" a="1"/>
  <c r="C190" i="3" s="1"/>
  <c r="E190" i="3" a="1"/>
  <c r="E190" i="3" s="1"/>
  <c r="G190" i="3" a="1"/>
  <c r="G190" i="3" s="1"/>
  <c r="I190" i="3" a="1"/>
  <c r="I190" i="3" s="1"/>
  <c r="L190" i="3" a="1"/>
  <c r="L190" i="3" s="1"/>
  <c r="A191" i="3" a="1"/>
  <c r="A191" i="3" s="1"/>
  <c r="B191" i="3" a="1"/>
  <c r="B191" i="3" s="1"/>
  <c r="D191" i="3" a="1"/>
  <c r="D191" i="3" s="1"/>
  <c r="F191" i="3" a="1"/>
  <c r="F191" i="3" s="1"/>
  <c r="H191" i="3" a="1"/>
  <c r="H191" i="3" s="1"/>
  <c r="K191" i="3" a="1"/>
  <c r="K191" i="3" s="1"/>
  <c r="M191" i="3" a="1"/>
  <c r="M191" i="3" s="1"/>
  <c r="B192" i="3" a="1"/>
  <c r="B192" i="3" s="1"/>
  <c r="D192" i="3" a="1"/>
  <c r="D192" i="3" s="1"/>
  <c r="F192" i="3" a="1"/>
  <c r="F192" i="3" s="1"/>
  <c r="G192" i="3" a="1"/>
  <c r="G192" i="3" s="1"/>
  <c r="I192" i="3" a="1"/>
  <c r="I192" i="3" s="1"/>
  <c r="M192" i="3" a="1"/>
  <c r="M192" i="3" s="1"/>
  <c r="B193" i="3" a="1"/>
  <c r="B193" i="3" s="1"/>
  <c r="D193" i="3" a="1"/>
  <c r="D193" i="3" s="1"/>
  <c r="F193" i="3" a="1"/>
  <c r="F193" i="3" s="1"/>
  <c r="H193" i="3" a="1"/>
  <c r="H193" i="3" s="1"/>
  <c r="K193" i="3" a="1"/>
  <c r="K193" i="3" s="1"/>
  <c r="M193" i="3" a="1"/>
  <c r="M193" i="3" s="1"/>
  <c r="B194" i="3" a="1"/>
  <c r="B194" i="3" s="1"/>
  <c r="D194" i="3" a="1"/>
  <c r="D194" i="3" s="1"/>
  <c r="F194" i="3" a="1"/>
  <c r="F194" i="3" s="1"/>
  <c r="H194" i="3" a="1"/>
  <c r="H194" i="3" s="1"/>
  <c r="K194" i="3" a="1"/>
  <c r="K194" i="3" s="1"/>
  <c r="M194" i="3" a="1"/>
  <c r="M194" i="3" s="1"/>
  <c r="B195" i="3" a="1"/>
  <c r="B195" i="3" s="1"/>
  <c r="D195" i="3" a="1"/>
  <c r="D195" i="3" s="1"/>
  <c r="F195" i="3" a="1"/>
  <c r="F195" i="3" s="1"/>
  <c r="H195" i="3" a="1"/>
  <c r="H195" i="3" s="1"/>
  <c r="K195" i="3" a="1"/>
  <c r="K195" i="3" s="1"/>
  <c r="M195" i="3" a="1"/>
  <c r="M195" i="3" s="1"/>
  <c r="B196" i="3" a="1"/>
  <c r="B196" i="3" s="1"/>
  <c r="D196" i="3" a="1"/>
  <c r="D196" i="3" s="1"/>
  <c r="F196" i="3" a="1"/>
  <c r="F196" i="3" s="1"/>
  <c r="H196" i="3" a="1"/>
  <c r="H196" i="3" s="1"/>
  <c r="K196" i="3" a="1"/>
  <c r="K196" i="3" s="1"/>
  <c r="M196" i="3" a="1"/>
  <c r="M196" i="3" s="1"/>
  <c r="B197" i="3" a="1"/>
  <c r="B197" i="3" s="1"/>
  <c r="D197" i="3" a="1"/>
  <c r="D197" i="3" s="1"/>
  <c r="F197" i="3" a="1"/>
  <c r="F197" i="3" s="1"/>
  <c r="H197" i="3" a="1"/>
  <c r="H197" i="3" s="1"/>
  <c r="K197" i="3" a="1"/>
  <c r="K197" i="3" s="1"/>
  <c r="L197" i="3" a="1"/>
  <c r="L197" i="3" s="1"/>
  <c r="A198" i="3" a="1"/>
  <c r="A198" i="3" s="1"/>
  <c r="D198" i="3" a="1"/>
  <c r="D198" i="3" s="1"/>
  <c r="F198" i="3" a="1"/>
  <c r="F198" i="3" s="1"/>
  <c r="H198" i="3" a="1"/>
  <c r="H198" i="3" s="1"/>
  <c r="K198" i="3" a="1"/>
  <c r="K198" i="3" s="1"/>
  <c r="M198" i="3" a="1"/>
  <c r="M198" i="3" s="1"/>
  <c r="B199" i="3" a="1"/>
  <c r="B199" i="3" s="1"/>
  <c r="D199" i="3" a="1"/>
  <c r="D199" i="3" s="1"/>
  <c r="F199" i="3" a="1"/>
  <c r="F199" i="3" s="1"/>
  <c r="H199" i="3" a="1"/>
  <c r="H199" i="3" s="1"/>
  <c r="I199" i="3" a="1"/>
  <c r="I199" i="3" s="1"/>
  <c r="L199" i="3" a="1"/>
  <c r="L199" i="3" s="1"/>
  <c r="A200" i="3" a="1"/>
  <c r="A200" i="3" s="1"/>
  <c r="C200" i="3" a="1"/>
  <c r="C200" i="3" s="1"/>
  <c r="E200" i="3" a="1"/>
  <c r="E200" i="3" s="1"/>
  <c r="G200" i="3" a="1"/>
  <c r="G200" i="3" s="1"/>
  <c r="I200" i="3" a="1"/>
  <c r="I200" i="3" s="1"/>
  <c r="L200" i="3" a="1"/>
  <c r="L200" i="3" s="1"/>
  <c r="A201" i="3" a="1"/>
  <c r="A201" i="3" s="1"/>
  <c r="C201" i="3" a="1"/>
  <c r="C201" i="3" s="1"/>
  <c r="D201" i="3" a="1"/>
  <c r="D201" i="3" s="1"/>
  <c r="F201" i="3" a="1"/>
  <c r="F201" i="3" s="1"/>
  <c r="H201" i="3" a="1"/>
  <c r="H201" i="3" s="1"/>
  <c r="K201" i="3" a="1"/>
  <c r="K201" i="3" s="1"/>
  <c r="M201" i="3" a="1"/>
  <c r="M201" i="3" s="1"/>
  <c r="B202" i="3" a="1"/>
  <c r="B202" i="3" s="1"/>
  <c r="D202" i="3" a="1"/>
  <c r="D202" i="3" s="1"/>
  <c r="F202" i="3" a="1"/>
  <c r="F202" i="3" s="1"/>
  <c r="G202" i="3" a="1"/>
  <c r="G202" i="3" s="1"/>
  <c r="I202" i="3" a="1"/>
  <c r="I202" i="3" s="1"/>
  <c r="L202" i="3" a="1"/>
  <c r="L202" i="3" s="1"/>
  <c r="B203" i="3" a="1"/>
  <c r="B203" i="3" s="1"/>
  <c r="D203" i="3" a="1"/>
  <c r="D203" i="3" s="1"/>
  <c r="F203" i="3" a="1"/>
  <c r="F203" i="3" s="1"/>
  <c r="H203" i="3" a="1"/>
  <c r="H203" i="3" s="1"/>
  <c r="K203" i="3" a="1"/>
  <c r="K203" i="3" s="1"/>
  <c r="M203" i="3" a="1"/>
  <c r="M203" i="3" s="1"/>
  <c r="B204" i="3" a="1"/>
  <c r="B204" i="3" s="1"/>
  <c r="D204" i="3" a="1"/>
  <c r="D204" i="3" s="1"/>
  <c r="F204" i="3" a="1"/>
  <c r="F204" i="3" s="1"/>
  <c r="G204" i="3" a="1"/>
  <c r="G204" i="3" s="1"/>
  <c r="I204" i="3" a="1"/>
  <c r="I204" i="3" s="1"/>
  <c r="L204" i="3" a="1"/>
  <c r="L204" i="3" s="1"/>
  <c r="A205" i="3" a="1"/>
  <c r="A205" i="3" s="1"/>
  <c r="C205" i="3" a="1"/>
  <c r="C205" i="3" s="1"/>
  <c r="E205" i="3" a="1"/>
  <c r="E205" i="3" s="1"/>
  <c r="G205" i="3" a="1"/>
  <c r="G205" i="3" s="1"/>
  <c r="I205" i="3" a="1"/>
  <c r="I205" i="3" s="1"/>
  <c r="L205" i="3" a="1"/>
  <c r="L205" i="3" s="1"/>
  <c r="M205" i="3" a="1"/>
  <c r="M205" i="3" s="1"/>
  <c r="B206" i="3" a="1"/>
  <c r="B206" i="3" s="1"/>
  <c r="D206" i="3" a="1"/>
  <c r="D206" i="3" s="1"/>
  <c r="F206" i="3" a="1"/>
  <c r="F206" i="3" s="1"/>
  <c r="H206" i="3" a="1"/>
  <c r="H206" i="3" s="1"/>
  <c r="K206" i="3" a="1"/>
  <c r="K206" i="3" s="1"/>
  <c r="M206" i="3" a="1"/>
  <c r="M206" i="3" s="1"/>
  <c r="C207" i="3" a="1"/>
  <c r="C207" i="3" s="1"/>
  <c r="D207" i="3" a="1"/>
  <c r="D207" i="3" s="1"/>
  <c r="F207" i="3" a="1"/>
  <c r="F207" i="3" s="1"/>
  <c r="H207" i="3" a="1"/>
  <c r="H207" i="3" s="1"/>
  <c r="I207" i="3" a="1"/>
  <c r="I207" i="3" s="1"/>
  <c r="K207" i="3" a="1"/>
  <c r="K207" i="3" s="1"/>
  <c r="L207" i="3" a="1"/>
  <c r="L207" i="3" s="1"/>
  <c r="M207" i="3" a="1"/>
  <c r="M207" i="3" s="1"/>
  <c r="A208" i="3" a="1"/>
  <c r="A208" i="3" s="1"/>
  <c r="B208" i="3" a="1"/>
  <c r="B208" i="3" s="1"/>
  <c r="C208" i="3" a="1"/>
  <c r="C208" i="3" s="1"/>
  <c r="D208" i="3" a="1"/>
  <c r="D208" i="3" s="1"/>
  <c r="E208" i="3" a="1"/>
  <c r="E208" i="3" s="1"/>
  <c r="F208" i="3" a="1"/>
  <c r="F208" i="3" s="1"/>
  <c r="G208" i="3" a="1"/>
  <c r="G208" i="3" s="1"/>
  <c r="H208" i="3" a="1"/>
  <c r="H208" i="3" s="1"/>
  <c r="I208" i="3" a="1"/>
  <c r="I208" i="3" s="1"/>
  <c r="L208" i="3" a="1"/>
  <c r="L208" i="3" s="1"/>
  <c r="A209" i="3" a="1"/>
  <c r="A209" i="3" s="1"/>
  <c r="C209" i="3" a="1"/>
  <c r="C209" i="3" s="1"/>
  <c r="E209" i="3" a="1"/>
  <c r="E209" i="3" s="1"/>
  <c r="G209" i="3" a="1"/>
  <c r="G209" i="3" s="1"/>
  <c r="I209" i="3" a="1"/>
  <c r="I209" i="3" s="1"/>
  <c r="L209" i="3" a="1"/>
  <c r="L209" i="3" s="1"/>
  <c r="A210" i="3" a="1"/>
  <c r="A210" i="3" s="1"/>
  <c r="C210" i="3" a="1"/>
  <c r="C210" i="3" s="1"/>
  <c r="E210" i="3" a="1"/>
  <c r="E210" i="3" s="1"/>
  <c r="G210" i="3" a="1"/>
  <c r="G210" i="3" s="1"/>
  <c r="I210" i="3" a="1"/>
  <c r="I210" i="3" s="1"/>
  <c r="L210" i="3" a="1"/>
  <c r="L210" i="3" s="1"/>
  <c r="A211" i="3" a="1"/>
  <c r="A211" i="3" s="1"/>
  <c r="C211" i="3" a="1"/>
  <c r="C211" i="3" s="1"/>
  <c r="E211" i="3" a="1"/>
  <c r="E211" i="3" s="1"/>
  <c r="G211" i="3" a="1"/>
  <c r="G211" i="3" s="1"/>
  <c r="I211" i="3" a="1"/>
  <c r="I211" i="3" s="1"/>
  <c r="L211" i="3" a="1"/>
  <c r="L211" i="3" s="1"/>
  <c r="A212" i="3" a="1"/>
  <c r="A212" i="3" s="1"/>
  <c r="C212" i="3" a="1"/>
  <c r="C212" i="3" s="1"/>
  <c r="E212" i="3" a="1"/>
  <c r="E212" i="3" s="1"/>
  <c r="G212" i="3" a="1"/>
  <c r="G212" i="3" s="1"/>
  <c r="I212" i="3" a="1"/>
  <c r="I212" i="3" s="1"/>
  <c r="L212" i="3" a="1"/>
  <c r="L212" i="3" s="1"/>
  <c r="A213" i="3" a="1"/>
  <c r="A213" i="3" s="1"/>
  <c r="C213" i="3" a="1"/>
  <c r="C213" i="3" s="1"/>
  <c r="E213" i="3" a="1"/>
  <c r="E213" i="3" s="1"/>
  <c r="G213" i="3" a="1"/>
  <c r="G213" i="3" s="1"/>
  <c r="I213" i="3" a="1"/>
  <c r="I213" i="3" s="1"/>
  <c r="L213" i="3" a="1"/>
  <c r="L213" i="3" s="1"/>
  <c r="A214" i="3" a="1"/>
  <c r="A214" i="3" s="1"/>
  <c r="C214" i="3" a="1"/>
  <c r="C214" i="3" s="1"/>
  <c r="E214" i="3" a="1"/>
  <c r="E214" i="3" s="1"/>
  <c r="G214" i="3" a="1"/>
  <c r="G214" i="3" s="1"/>
  <c r="I214" i="3" a="1"/>
  <c r="I214" i="3" s="1"/>
  <c r="L214" i="3" a="1"/>
  <c r="L214" i="3" s="1"/>
  <c r="F215" i="3" a="1"/>
  <c r="F215" i="3" s="1"/>
  <c r="H215" i="3" a="1"/>
  <c r="H215" i="3" s="1"/>
  <c r="K215" i="3" a="1"/>
  <c r="K215" i="3" s="1"/>
  <c r="M215" i="3" a="1"/>
  <c r="M215" i="3" s="1"/>
  <c r="B216" i="3" a="1"/>
  <c r="B216" i="3" s="1"/>
  <c r="C216" i="3" a="1"/>
  <c r="C216" i="3" s="1"/>
  <c r="E216" i="3" a="1"/>
  <c r="E216" i="3" s="1"/>
  <c r="G216" i="3" a="1"/>
  <c r="G216" i="3" s="1"/>
  <c r="I216" i="3" a="1"/>
  <c r="I216" i="3" s="1"/>
  <c r="L216" i="3" a="1"/>
  <c r="L216" i="3" s="1"/>
  <c r="A217" i="3" a="1"/>
  <c r="A217" i="3" s="1"/>
  <c r="C217" i="3" a="1"/>
  <c r="C217" i="3" s="1"/>
  <c r="E217" i="3" a="1"/>
  <c r="E217" i="3" s="1"/>
  <c r="G217" i="3" a="1"/>
  <c r="G217" i="3" s="1"/>
  <c r="I217" i="3" a="1"/>
  <c r="I217" i="3" s="1"/>
  <c r="L217" i="3" a="1"/>
  <c r="L217" i="3" s="1"/>
  <c r="A218" i="3" a="1"/>
  <c r="A218" i="3" s="1"/>
  <c r="C218" i="3" a="1"/>
  <c r="C218" i="3" s="1"/>
  <c r="E218" i="3" a="1"/>
  <c r="E218" i="3" s="1"/>
  <c r="G218" i="3" a="1"/>
  <c r="G218" i="3" s="1"/>
  <c r="I218" i="3" a="1"/>
  <c r="I218" i="3" s="1"/>
  <c r="L218" i="3" a="1"/>
  <c r="L218" i="3" s="1"/>
  <c r="A219" i="3" a="1"/>
  <c r="A219" i="3" s="1"/>
  <c r="C219" i="3" a="1"/>
  <c r="C219" i="3" s="1"/>
  <c r="E219" i="3" a="1"/>
  <c r="E219" i="3" s="1"/>
  <c r="G219" i="3" a="1"/>
  <c r="G219" i="3" s="1"/>
  <c r="I219" i="3" a="1"/>
  <c r="I219" i="3" s="1"/>
  <c r="L219" i="3" a="1"/>
  <c r="L219" i="3" s="1"/>
  <c r="A220" i="3" a="1"/>
  <c r="A220" i="3" s="1"/>
  <c r="C220" i="3" a="1"/>
  <c r="C220" i="3" s="1"/>
  <c r="E220" i="3" a="1"/>
  <c r="E220" i="3" s="1"/>
  <c r="G220" i="3" a="1"/>
  <c r="G220" i="3" s="1"/>
  <c r="I220" i="3" a="1"/>
  <c r="I220" i="3" s="1"/>
  <c r="K220" i="3" a="1"/>
  <c r="K220" i="3" s="1"/>
  <c r="M220" i="3" a="1"/>
  <c r="M220" i="3" s="1"/>
  <c r="B221" i="3" a="1"/>
  <c r="B221" i="3" s="1"/>
  <c r="D221" i="3" a="1"/>
  <c r="D221" i="3" s="1"/>
  <c r="F221" i="3" a="1"/>
  <c r="F221" i="3" s="1"/>
  <c r="H221" i="3" a="1"/>
  <c r="H221" i="3" s="1"/>
  <c r="K221" i="3" a="1"/>
  <c r="K221" i="3" s="1"/>
  <c r="M221" i="3" a="1"/>
  <c r="M221" i="3" s="1"/>
  <c r="B222" i="3" a="1"/>
  <c r="B222" i="3" s="1"/>
  <c r="D222" i="3" a="1"/>
  <c r="D222" i="3" s="1"/>
  <c r="F222" i="3" a="1"/>
  <c r="F222" i="3" s="1"/>
  <c r="H222" i="3" a="1"/>
  <c r="H222" i="3" s="1"/>
  <c r="K222" i="3" a="1"/>
  <c r="K222" i="3" s="1"/>
  <c r="M222" i="3" a="1"/>
  <c r="M222" i="3" s="1"/>
  <c r="B223" i="3" a="1"/>
  <c r="B223" i="3" s="1"/>
  <c r="D223" i="3" a="1"/>
  <c r="D223" i="3" s="1"/>
  <c r="F223" i="3" a="1"/>
  <c r="F223" i="3" s="1"/>
  <c r="H223" i="3" a="1"/>
  <c r="H223" i="3" s="1"/>
  <c r="K223" i="3" a="1"/>
  <c r="K223" i="3" s="1"/>
  <c r="M223" i="3" a="1"/>
  <c r="M223" i="3" s="1"/>
  <c r="B224" i="3" a="1"/>
  <c r="B224" i="3" s="1"/>
  <c r="D224" i="3" a="1"/>
  <c r="D224" i="3" s="1"/>
  <c r="F224" i="3" a="1"/>
  <c r="F224" i="3" s="1"/>
  <c r="G224" i="3" a="1"/>
  <c r="G224" i="3" s="1"/>
  <c r="I224" i="3" a="1"/>
  <c r="I224" i="3" s="1"/>
  <c r="L224" i="3" a="1"/>
  <c r="L224" i="3" s="1"/>
  <c r="A225" i="3" a="1"/>
  <c r="A225" i="3" s="1"/>
  <c r="C225" i="3" a="1"/>
  <c r="C225" i="3" s="1"/>
  <c r="E225" i="3" a="1"/>
  <c r="E225" i="3" s="1"/>
  <c r="G225" i="3" a="1"/>
  <c r="G225" i="3" s="1"/>
  <c r="I225" i="3" a="1"/>
  <c r="I225" i="3" s="1"/>
  <c r="L225" i="3" a="1"/>
  <c r="L225" i="3" s="1"/>
  <c r="A226" i="3" a="1"/>
  <c r="A226" i="3" s="1"/>
  <c r="C226" i="3" a="1"/>
  <c r="C226" i="3" s="1"/>
  <c r="E226" i="3" a="1"/>
  <c r="E226" i="3" s="1"/>
  <c r="F226" i="3" a="1"/>
  <c r="F226" i="3" s="1"/>
  <c r="H226" i="3" a="1"/>
  <c r="H226" i="3" s="1"/>
  <c r="K226" i="3" a="1"/>
  <c r="K226" i="3" s="1"/>
  <c r="M226" i="3" a="1"/>
  <c r="M226" i="3" s="1"/>
  <c r="B227" i="3" a="1"/>
  <c r="B227" i="3" s="1"/>
  <c r="D227" i="3" a="1"/>
  <c r="D227" i="3" s="1"/>
  <c r="F227" i="3" a="1"/>
  <c r="F227" i="3" s="1"/>
  <c r="H227" i="3" a="1"/>
  <c r="H227" i="3" s="1"/>
  <c r="K227" i="3" a="1"/>
  <c r="K227" i="3" s="1"/>
  <c r="M227" i="3" a="1"/>
  <c r="M227" i="3" s="1"/>
  <c r="B228" i="3" a="1"/>
  <c r="B228" i="3" s="1"/>
  <c r="D228" i="3" a="1"/>
  <c r="D228" i="3" s="1"/>
  <c r="F228" i="3" a="1"/>
  <c r="F228" i="3" s="1"/>
  <c r="H228" i="3" a="1"/>
  <c r="H228" i="3" s="1"/>
  <c r="K228" i="3" a="1"/>
  <c r="K228" i="3" s="1"/>
  <c r="M228" i="3" a="1"/>
  <c r="M228" i="3" s="1"/>
  <c r="B229" i="3" a="1"/>
  <c r="B229" i="3" s="1"/>
  <c r="D229" i="3" a="1"/>
  <c r="D229" i="3" s="1"/>
  <c r="F229" i="3" a="1"/>
  <c r="F229" i="3" s="1"/>
  <c r="H229" i="3" a="1"/>
  <c r="H229" i="3" s="1"/>
  <c r="K229" i="3" a="1"/>
  <c r="K229" i="3" s="1"/>
  <c r="M229" i="3" a="1"/>
  <c r="M229" i="3" s="1"/>
  <c r="B230" i="3" a="1"/>
  <c r="B230" i="3" s="1"/>
  <c r="D230" i="3" a="1"/>
  <c r="D230" i="3" s="1"/>
  <c r="F230" i="3" a="1"/>
  <c r="F230" i="3" s="1"/>
  <c r="H230" i="3" a="1"/>
  <c r="H230" i="3" s="1"/>
  <c r="K230" i="3" a="1"/>
  <c r="K230" i="3" s="1"/>
  <c r="M230" i="3" a="1"/>
  <c r="M230" i="3" s="1"/>
  <c r="B231" i="3" a="1"/>
  <c r="B231" i="3" s="1"/>
  <c r="D231" i="3" a="1"/>
  <c r="D231" i="3" s="1"/>
  <c r="F231" i="3" a="1"/>
  <c r="F231" i="3" s="1"/>
  <c r="H231" i="3" a="1"/>
  <c r="H231" i="3" s="1"/>
  <c r="I231" i="3" a="1"/>
  <c r="I231" i="3" s="1"/>
  <c r="L231" i="3" a="1"/>
  <c r="L231" i="3" s="1"/>
  <c r="A232" i="3" a="1"/>
  <c r="A232" i="3" s="1"/>
  <c r="C232" i="3" a="1"/>
  <c r="C232" i="3" s="1"/>
  <c r="E232" i="3" a="1"/>
  <c r="E232" i="3" s="1"/>
  <c r="G232" i="3" a="1"/>
  <c r="G232" i="3" s="1"/>
  <c r="I232" i="3" a="1"/>
  <c r="I232" i="3" s="1"/>
  <c r="L232" i="3" a="1"/>
  <c r="L232" i="3" s="1"/>
  <c r="A233" i="3" a="1"/>
  <c r="A233" i="3" s="1"/>
  <c r="C233" i="3" a="1"/>
  <c r="C233" i="3" s="1"/>
  <c r="E233" i="3" a="1"/>
  <c r="E233" i="3" s="1"/>
  <c r="G233" i="3" a="1"/>
  <c r="G233" i="3" s="1"/>
  <c r="I233" i="3" a="1"/>
  <c r="I233" i="3" s="1"/>
  <c r="L233" i="3" a="1"/>
  <c r="L233" i="3" s="1"/>
  <c r="A234" i="3" a="1"/>
  <c r="A234" i="3" s="1"/>
  <c r="C234" i="3" a="1"/>
  <c r="C234" i="3" s="1"/>
  <c r="E234" i="3" a="1"/>
  <c r="E234" i="3" s="1"/>
  <c r="G234" i="3" a="1"/>
  <c r="G234" i="3" s="1"/>
  <c r="K234" i="3" a="1"/>
  <c r="K234" i="3" s="1"/>
  <c r="M234" i="3" a="1"/>
  <c r="M234" i="3" s="1"/>
  <c r="A235" i="3" a="1"/>
  <c r="A235" i="3" s="1"/>
  <c r="C235" i="3" a="1"/>
  <c r="C235" i="3" s="1"/>
  <c r="E235" i="3" a="1"/>
  <c r="E235" i="3" s="1"/>
  <c r="G235" i="3" a="1"/>
  <c r="G235" i="3" s="1"/>
  <c r="I235" i="3" a="1"/>
  <c r="I235" i="3" s="1"/>
  <c r="L235" i="3" a="1"/>
  <c r="L235" i="3" s="1"/>
  <c r="A236" i="3" a="1"/>
  <c r="A236" i="3" s="1"/>
  <c r="B236" i="3" a="1"/>
  <c r="B236" i="3" s="1"/>
  <c r="D236" i="3" a="1"/>
  <c r="D236" i="3" s="1"/>
  <c r="F236" i="3" a="1"/>
  <c r="F236" i="3" s="1"/>
  <c r="H236" i="3" a="1"/>
  <c r="H236" i="3" s="1"/>
  <c r="K236" i="3" a="1"/>
  <c r="K236" i="3" s="1"/>
  <c r="M236" i="3" a="1"/>
  <c r="M236" i="3" s="1"/>
  <c r="B237" i="3" a="1"/>
  <c r="B237" i="3" s="1"/>
  <c r="D237" i="3" a="1"/>
  <c r="D237" i="3" s="1"/>
  <c r="F237" i="3" a="1"/>
  <c r="F237" i="3" s="1"/>
  <c r="H237" i="3" a="1"/>
  <c r="H237" i="3" s="1"/>
  <c r="K237" i="3" a="1"/>
  <c r="K237" i="3" s="1"/>
  <c r="M237" i="3" a="1"/>
  <c r="M237" i="3" s="1"/>
  <c r="B238" i="3" a="1"/>
  <c r="B238" i="3" s="1"/>
  <c r="D238" i="3" a="1"/>
  <c r="D238" i="3" s="1"/>
  <c r="F238" i="3" a="1"/>
  <c r="F238" i="3" s="1"/>
  <c r="H238" i="3" a="1"/>
  <c r="H238" i="3" s="1"/>
  <c r="K238" i="3" a="1"/>
  <c r="K238" i="3" s="1"/>
  <c r="M238" i="3" a="1"/>
  <c r="M238" i="3" s="1"/>
  <c r="B239" i="3" a="1"/>
  <c r="B239" i="3" s="1"/>
  <c r="D239" i="3" a="1"/>
  <c r="D239" i="3" s="1"/>
  <c r="F239" i="3" a="1"/>
  <c r="F239" i="3" s="1"/>
  <c r="H239" i="3" a="1"/>
  <c r="H239" i="3" s="1"/>
  <c r="K239" i="3" a="1"/>
  <c r="K239" i="3" s="1"/>
  <c r="M239" i="3" a="1"/>
  <c r="M239" i="3" s="1"/>
  <c r="B240" i="3" a="1"/>
  <c r="B240" i="3" s="1"/>
  <c r="D240" i="3" a="1"/>
  <c r="D240" i="3" s="1"/>
  <c r="F240" i="3" a="1"/>
  <c r="F240" i="3" s="1"/>
  <c r="H240" i="3" a="1"/>
  <c r="H240" i="3" s="1"/>
  <c r="K240" i="3" a="1"/>
  <c r="K240" i="3" s="1"/>
  <c r="M240" i="3" a="1"/>
  <c r="M240" i="3" s="1"/>
  <c r="B241" i="3" a="1"/>
  <c r="B241" i="3" s="1"/>
  <c r="C241" i="3" a="1"/>
  <c r="C241" i="3" s="1"/>
  <c r="E241" i="3" a="1"/>
  <c r="E241" i="3" s="1"/>
  <c r="G241" i="3" a="1"/>
  <c r="G241" i="3" s="1"/>
  <c r="I241" i="3" a="1"/>
  <c r="I241" i="3" s="1"/>
  <c r="L241" i="3" a="1"/>
  <c r="L241" i="3" s="1"/>
  <c r="A242" i="3" a="1"/>
  <c r="A242" i="3" s="1"/>
  <c r="C242" i="3" a="1"/>
  <c r="C242" i="3" s="1"/>
  <c r="E242" i="3" a="1"/>
  <c r="E242" i="3" s="1"/>
  <c r="G242" i="3" a="1"/>
  <c r="G242" i="3" s="1"/>
  <c r="I242" i="3" a="1"/>
  <c r="I242" i="3" s="1"/>
  <c r="L242" i="3" a="1"/>
  <c r="L242" i="3" s="1"/>
  <c r="A243" i="3" a="1"/>
  <c r="A243" i="3" s="1"/>
  <c r="C243" i="3" a="1"/>
  <c r="C243" i="3" s="1"/>
  <c r="E243" i="3" a="1"/>
  <c r="E243" i="3" s="1"/>
  <c r="G243" i="3" a="1"/>
  <c r="G243" i="3" s="1"/>
  <c r="I243" i="3" a="1"/>
  <c r="I243" i="3" s="1"/>
  <c r="L243" i="3" a="1"/>
  <c r="L243" i="3" s="1"/>
  <c r="M243" i="3" a="1"/>
  <c r="M243" i="3" s="1"/>
  <c r="B244" i="3" a="1"/>
  <c r="B244" i="3" s="1"/>
  <c r="D244" i="3" a="1"/>
  <c r="D244" i="3" s="1"/>
  <c r="F244" i="3" a="1"/>
  <c r="F244" i="3" s="1"/>
  <c r="H244" i="3" a="1"/>
  <c r="H244" i="3" s="1"/>
  <c r="K244" i="3" a="1"/>
  <c r="K244" i="3" s="1"/>
  <c r="M244" i="3" a="1"/>
  <c r="M244" i="3" s="1"/>
  <c r="B245" i="3" a="1"/>
  <c r="B245" i="3" s="1"/>
  <c r="C245" i="3" a="1"/>
  <c r="C245" i="3" s="1"/>
  <c r="E245" i="3" a="1"/>
  <c r="E245" i="3" s="1"/>
  <c r="G245" i="3" a="1"/>
  <c r="G245" i="3" s="1"/>
  <c r="I245" i="3" a="1"/>
  <c r="I245" i="3" s="1"/>
  <c r="L245" i="3" a="1"/>
  <c r="L245" i="3" s="1"/>
  <c r="A246" i="3" a="1"/>
  <c r="A246" i="3" s="1"/>
  <c r="C246" i="3" a="1"/>
  <c r="C246" i="3" s="1"/>
  <c r="F246" i="3" a="1"/>
  <c r="F246" i="3" s="1"/>
  <c r="H246" i="3" a="1"/>
  <c r="H246" i="3" s="1"/>
  <c r="K246" i="3" a="1"/>
  <c r="K246" i="3" s="1"/>
  <c r="M246" i="3" a="1"/>
  <c r="M246" i="3" s="1"/>
  <c r="B247" i="3" a="1"/>
  <c r="B247" i="3" s="1"/>
  <c r="D247" i="3" a="1"/>
  <c r="D247" i="3" s="1"/>
  <c r="F247" i="3" a="1"/>
  <c r="F247" i="3" s="1"/>
  <c r="G247" i="3" a="1"/>
  <c r="G247" i="3" s="1"/>
  <c r="I247" i="3" a="1"/>
  <c r="I247" i="3" s="1"/>
  <c r="L247" i="3" a="1"/>
  <c r="L247" i="3" s="1"/>
  <c r="A248" i="3" a="1"/>
  <c r="A248" i="3" s="1"/>
  <c r="C248" i="3" a="1"/>
  <c r="C248" i="3" s="1"/>
  <c r="E248" i="3" a="1"/>
  <c r="E248" i="3" s="1"/>
  <c r="G248" i="3" a="1"/>
  <c r="G248" i="3" s="1"/>
  <c r="I248" i="3" a="1"/>
  <c r="I248" i="3" s="1"/>
  <c r="L248" i="3" a="1"/>
  <c r="L248" i="3" s="1"/>
  <c r="A249" i="3" a="1"/>
  <c r="A249" i="3" s="1"/>
  <c r="C249" i="3" a="1"/>
  <c r="C249" i="3" s="1"/>
  <c r="E249" i="3" a="1"/>
  <c r="E249" i="3" s="1"/>
  <c r="G249" i="3" a="1"/>
  <c r="G249" i="3" s="1"/>
  <c r="I249" i="3" a="1"/>
  <c r="I249" i="3" s="1"/>
  <c r="M249" i="3" a="1"/>
  <c r="M249" i="3" s="1"/>
  <c r="B250" i="3" a="1"/>
  <c r="B250" i="3" s="1"/>
  <c r="D250" i="3" a="1"/>
  <c r="D250" i="3" s="1"/>
  <c r="F250" i="3" a="1"/>
  <c r="F250" i="3" s="1"/>
  <c r="H250" i="3" a="1"/>
  <c r="H250" i="3" s="1"/>
  <c r="K250" i="3" a="1"/>
  <c r="K250" i="3" s="1"/>
  <c r="L250" i="3" a="1"/>
  <c r="L250" i="3" s="1"/>
  <c r="A251" i="3" a="1"/>
  <c r="A251" i="3" s="1"/>
  <c r="C251" i="3" a="1"/>
  <c r="C251" i="3" s="1"/>
  <c r="E251" i="3" a="1"/>
  <c r="E251" i="3" s="1"/>
  <c r="G251" i="3" a="1"/>
  <c r="G251" i="3" s="1"/>
  <c r="I251" i="3" a="1"/>
  <c r="I251" i="3" s="1"/>
  <c r="L251" i="3" a="1"/>
  <c r="L251" i="3" s="1"/>
  <c r="A252" i="3" a="1"/>
  <c r="A252" i="3" s="1"/>
  <c r="C252" i="3" a="1"/>
  <c r="C252" i="3" s="1"/>
  <c r="E252" i="3" a="1"/>
  <c r="E252" i="3" s="1"/>
  <c r="G252" i="3" a="1"/>
  <c r="G252" i="3" s="1"/>
  <c r="I252" i="3" a="1"/>
  <c r="I252" i="3" s="1"/>
  <c r="K252" i="3" a="1"/>
  <c r="K252" i="3" s="1"/>
  <c r="M252" i="3" a="1"/>
  <c r="M252" i="3" s="1"/>
  <c r="B253" i="3" a="1"/>
  <c r="B253" i="3" s="1"/>
  <c r="D253" i="3" a="1"/>
  <c r="D253" i="3" s="1"/>
  <c r="F253" i="3" a="1"/>
  <c r="F253" i="3" s="1"/>
  <c r="H253" i="3" a="1"/>
  <c r="H253" i="3" s="1"/>
  <c r="K253" i="3" a="1"/>
  <c r="K253" i="3" s="1"/>
  <c r="M253" i="3" a="1"/>
  <c r="M253" i="3" s="1"/>
  <c r="B254" i="3" a="1"/>
  <c r="B254" i="3" s="1"/>
  <c r="D254" i="3" a="1"/>
  <c r="D254" i="3" s="1"/>
  <c r="F254" i="3" a="1"/>
  <c r="F254" i="3" s="1"/>
  <c r="H254" i="3" a="1"/>
  <c r="H254" i="3" s="1"/>
  <c r="K254" i="3" a="1"/>
  <c r="K254" i="3" s="1"/>
  <c r="M254" i="3" a="1"/>
  <c r="M254" i="3" s="1"/>
  <c r="B255" i="3" a="1"/>
  <c r="B255" i="3" s="1"/>
  <c r="D255" i="3" a="1"/>
  <c r="D255" i="3" s="1"/>
  <c r="F255" i="3" a="1"/>
  <c r="F255" i="3" s="1"/>
  <c r="H255" i="3" a="1"/>
  <c r="H255" i="3" s="1"/>
  <c r="K255" i="3" a="1"/>
  <c r="K255" i="3" s="1"/>
  <c r="M255" i="3" a="1"/>
  <c r="M255" i="3" s="1"/>
  <c r="B256" i="3" a="1"/>
  <c r="B256" i="3" s="1"/>
  <c r="D256" i="3" a="1"/>
  <c r="D256" i="3" s="1"/>
  <c r="F256" i="3" a="1"/>
  <c r="F256" i="3" s="1"/>
  <c r="H256" i="3" a="1"/>
  <c r="H256" i="3" s="1"/>
  <c r="K256" i="3" a="1"/>
  <c r="K256" i="3" s="1"/>
  <c r="M256" i="3" a="1"/>
  <c r="M256" i="3" s="1"/>
  <c r="B257" i="3" a="1"/>
  <c r="B257" i="3" s="1"/>
  <c r="D257" i="3" a="1"/>
  <c r="D257" i="3" s="1"/>
  <c r="E257" i="3" a="1"/>
  <c r="E257" i="3" s="1"/>
  <c r="G257" i="3" a="1"/>
  <c r="G257" i="3" s="1"/>
  <c r="I257" i="3" a="1"/>
  <c r="I257" i="3" s="1"/>
  <c r="L257" i="3" a="1"/>
  <c r="L257" i="3" s="1"/>
  <c r="A258" i="3" a="1"/>
  <c r="A258" i="3" s="1"/>
  <c r="C258" i="3" a="1"/>
  <c r="C258" i="3" s="1"/>
  <c r="E258" i="3" a="1"/>
  <c r="E258" i="3" s="1"/>
  <c r="G258" i="3" a="1"/>
  <c r="G258" i="3" s="1"/>
  <c r="I258" i="3" a="1"/>
  <c r="I258" i="3" s="1"/>
  <c r="L258" i="3" a="1"/>
  <c r="L258" i="3" s="1"/>
  <c r="A259" i="3" a="1"/>
  <c r="A259" i="3" s="1"/>
  <c r="C259" i="3" a="1"/>
  <c r="C259" i="3" s="1"/>
  <c r="D259" i="3" a="1"/>
  <c r="D259" i="3" s="1"/>
  <c r="F259" i="3" a="1"/>
  <c r="F259" i="3" s="1"/>
  <c r="G259" i="3" a="1"/>
  <c r="G259" i="3" s="1"/>
  <c r="H259" i="3" a="1"/>
  <c r="H259" i="3" s="1"/>
  <c r="I259" i="3" a="1"/>
  <c r="I259" i="3" s="1"/>
  <c r="K259" i="3" a="1"/>
  <c r="K259" i="3" s="1"/>
  <c r="L259" i="3" a="1"/>
  <c r="L259" i="3" s="1"/>
  <c r="M259" i="3" a="1"/>
  <c r="M259" i="3" s="1"/>
  <c r="A260" i="3" a="1"/>
  <c r="A260" i="3" s="1"/>
  <c r="B260" i="3" a="1"/>
  <c r="B260" i="3" s="1"/>
  <c r="C260" i="3" a="1"/>
  <c r="C260" i="3" s="1"/>
  <c r="D260" i="3" a="1"/>
  <c r="D260" i="3" s="1"/>
  <c r="E260" i="3" a="1"/>
  <c r="E260" i="3" s="1"/>
  <c r="F260" i="3" a="1"/>
  <c r="F260" i="3" s="1"/>
  <c r="G260" i="3" a="1"/>
  <c r="G260" i="3" s="1"/>
  <c r="H260" i="3" a="1"/>
  <c r="H260" i="3" s="1"/>
  <c r="I260" i="3" a="1"/>
  <c r="I260" i="3" s="1"/>
  <c r="K260" i="3" a="1"/>
  <c r="K260" i="3" s="1"/>
  <c r="L260" i="3" a="1"/>
  <c r="L260" i="3" s="1"/>
  <c r="M260" i="3" a="1"/>
  <c r="M260" i="3" s="1"/>
  <c r="A261" i="3" a="1"/>
  <c r="A261" i="3" s="1"/>
  <c r="B261" i="3" a="1"/>
  <c r="B261" i="3" s="1"/>
  <c r="C261" i="3" a="1"/>
  <c r="C261" i="3" s="1"/>
  <c r="D261" i="3" a="1"/>
  <c r="D261" i="3" s="1"/>
  <c r="E261" i="3" a="1"/>
  <c r="E261" i="3" s="1"/>
  <c r="F261" i="3" a="1"/>
  <c r="F261" i="3" s="1"/>
  <c r="G261" i="3" a="1"/>
  <c r="G261" i="3" s="1"/>
  <c r="H261" i="3" a="1"/>
  <c r="H261" i="3" s="1"/>
  <c r="I261" i="3" a="1"/>
  <c r="I261" i="3" s="1"/>
  <c r="K261" i="3" a="1"/>
  <c r="K261" i="3" s="1"/>
  <c r="L261" i="3" a="1"/>
  <c r="L261" i="3" s="1"/>
  <c r="M261" i="3" a="1"/>
  <c r="M261" i="3" s="1"/>
  <c r="A262" i="3" a="1"/>
  <c r="A262" i="3" s="1"/>
  <c r="B262" i="3" a="1"/>
  <c r="B262" i="3" s="1"/>
  <c r="C262" i="3" a="1"/>
  <c r="C262" i="3" s="1"/>
  <c r="D262" i="3" a="1"/>
  <c r="D262" i="3" s="1"/>
  <c r="E262" i="3" a="1"/>
  <c r="E262" i="3" s="1"/>
  <c r="F262" i="3" a="1"/>
  <c r="F262" i="3" s="1"/>
  <c r="G262" i="3" a="1"/>
  <c r="G262" i="3" s="1"/>
  <c r="H262" i="3" a="1"/>
  <c r="H262" i="3" s="1"/>
  <c r="I262" i="3" a="1"/>
  <c r="I262" i="3" s="1"/>
  <c r="K262" i="3" a="1"/>
  <c r="K262" i="3" s="1"/>
  <c r="L262" i="3" a="1"/>
  <c r="L262" i="3" s="1"/>
  <c r="M262" i="3" a="1"/>
  <c r="M262" i="3" s="1"/>
  <c r="A263" i="3" a="1"/>
  <c r="A263" i="3" s="1"/>
  <c r="B263" i="3" a="1"/>
  <c r="B263" i="3" s="1"/>
  <c r="C263" i="3" a="1"/>
  <c r="C263" i="3" s="1"/>
  <c r="D263" i="3" a="1"/>
  <c r="D263" i="3" s="1"/>
  <c r="E263" i="3" a="1"/>
  <c r="E263" i="3" s="1"/>
  <c r="F263" i="3" a="1"/>
  <c r="F263" i="3" s="1"/>
  <c r="G263" i="3" a="1"/>
  <c r="G263" i="3" s="1"/>
  <c r="H263" i="3" a="1"/>
  <c r="H263" i="3" s="1"/>
  <c r="I263" i="3" a="1"/>
  <c r="I263" i="3" s="1"/>
  <c r="K263" i="3" a="1"/>
  <c r="K263" i="3" s="1"/>
  <c r="L263" i="3" a="1"/>
  <c r="L263" i="3" s="1"/>
  <c r="M263" i="3" a="1"/>
  <c r="M263" i="3" s="1"/>
  <c r="A264" i="3" a="1"/>
  <c r="A264" i="3" s="1"/>
  <c r="B264" i="3" a="1"/>
  <c r="B264" i="3" s="1"/>
  <c r="C264" i="3" a="1"/>
  <c r="C264" i="3" s="1"/>
  <c r="D264" i="3" a="1"/>
  <c r="D264" i="3" s="1"/>
  <c r="E264" i="3" a="1"/>
  <c r="E264" i="3" s="1"/>
  <c r="F264" i="3" a="1"/>
  <c r="F264" i="3" s="1"/>
  <c r="G264" i="3" a="1"/>
  <c r="G264" i="3" s="1"/>
  <c r="H264" i="3" a="1"/>
  <c r="H264" i="3" s="1"/>
  <c r="I264" i="3" a="1"/>
  <c r="I264" i="3" s="1"/>
  <c r="K264" i="3" a="1"/>
  <c r="K264" i="3" s="1"/>
  <c r="L264" i="3" a="1"/>
  <c r="L264" i="3" s="1"/>
  <c r="M264" i="3" a="1"/>
  <c r="M264" i="3" s="1"/>
  <c r="A265" i="3" a="1"/>
  <c r="A265" i="3" s="1"/>
  <c r="B265" i="3" a="1"/>
  <c r="B265" i="3" s="1"/>
  <c r="C265" i="3" a="1"/>
  <c r="C265" i="3" s="1"/>
  <c r="D265" i="3" a="1"/>
  <c r="D265" i="3" s="1"/>
  <c r="E265" i="3" a="1"/>
  <c r="E265" i="3" s="1"/>
  <c r="F265" i="3" a="1"/>
  <c r="F265" i="3" s="1"/>
  <c r="G265" i="3" a="1"/>
  <c r="G265" i="3" s="1"/>
  <c r="H265" i="3" a="1"/>
  <c r="H265" i="3" s="1"/>
  <c r="I265" i="3" a="1"/>
  <c r="I265" i="3" s="1"/>
  <c r="K265" i="3" a="1"/>
  <c r="K265" i="3" s="1"/>
  <c r="L265" i="3" a="1"/>
  <c r="L265" i="3" s="1"/>
  <c r="M265" i="3" a="1"/>
  <c r="M265" i="3" s="1"/>
  <c r="A266" i="3" a="1"/>
  <c r="A266" i="3" s="1"/>
  <c r="B266" i="3" a="1"/>
  <c r="B266" i="3" s="1"/>
  <c r="C266" i="3" a="1"/>
  <c r="C266" i="3" s="1"/>
  <c r="D266" i="3" a="1"/>
  <c r="D266" i="3" s="1"/>
  <c r="E266" i="3" a="1"/>
  <c r="E266" i="3" s="1"/>
  <c r="F266" i="3" a="1"/>
  <c r="F266" i="3" s="1"/>
  <c r="G266" i="3" a="1"/>
  <c r="G266" i="3" s="1"/>
  <c r="H266" i="3" a="1"/>
  <c r="H266" i="3" s="1"/>
  <c r="I266" i="3" a="1"/>
  <c r="I266" i="3" s="1"/>
  <c r="K266" i="3" a="1"/>
  <c r="K266" i="3" s="1"/>
  <c r="L266" i="3" a="1"/>
  <c r="L266" i="3" s="1"/>
  <c r="M266" i="3" a="1"/>
  <c r="M266" i="3" s="1"/>
  <c r="A267" i="3" a="1"/>
  <c r="A267" i="3" s="1"/>
  <c r="B267" i="3" a="1"/>
  <c r="B267" i="3" s="1"/>
  <c r="C267" i="3" a="1"/>
  <c r="C267" i="3" s="1"/>
  <c r="D267" i="3" a="1"/>
  <c r="D267" i="3" s="1"/>
  <c r="E267" i="3" a="1"/>
  <c r="E267" i="3" s="1"/>
  <c r="F267" i="3" a="1"/>
  <c r="F267" i="3" s="1"/>
  <c r="G267" i="3" a="1"/>
  <c r="G267" i="3" s="1"/>
  <c r="H267" i="3" a="1"/>
  <c r="H267" i="3" s="1"/>
  <c r="I267" i="3" a="1"/>
  <c r="I267" i="3" s="1"/>
  <c r="K267" i="3" a="1"/>
  <c r="K267" i="3" s="1"/>
  <c r="L267" i="3" a="1"/>
  <c r="L267" i="3" s="1"/>
  <c r="M267" i="3" a="1"/>
  <c r="M267" i="3" s="1"/>
  <c r="A268" i="3" a="1"/>
  <c r="A268" i="3" s="1"/>
  <c r="B268" i="3" a="1"/>
  <c r="B268" i="3" s="1"/>
  <c r="C268" i="3" a="1"/>
  <c r="C268" i="3" s="1"/>
  <c r="D268" i="3" a="1"/>
  <c r="D268" i="3" s="1"/>
  <c r="E268" i="3" a="1"/>
  <c r="E268" i="3" s="1"/>
  <c r="F268" i="3" a="1"/>
  <c r="F268" i="3" s="1"/>
  <c r="G268" i="3" a="1"/>
  <c r="G268" i="3" s="1"/>
  <c r="H268" i="3" a="1"/>
  <c r="H268" i="3" s="1"/>
  <c r="I268" i="3" a="1"/>
  <c r="I268" i="3" s="1"/>
  <c r="K268" i="3" a="1"/>
  <c r="K268" i="3" s="1"/>
  <c r="L268" i="3" a="1"/>
  <c r="L268" i="3" s="1"/>
  <c r="M268" i="3" a="1"/>
  <c r="M268" i="3" s="1"/>
  <c r="A269" i="3" a="1"/>
  <c r="A269" i="3" s="1"/>
  <c r="B269" i="3" a="1"/>
  <c r="B269" i="3" s="1"/>
  <c r="C269" i="3" a="1"/>
  <c r="C269" i="3" s="1"/>
  <c r="D269" i="3" a="1"/>
  <c r="D269" i="3" s="1"/>
  <c r="E269" i="3" a="1"/>
  <c r="E269" i="3" s="1"/>
  <c r="F269" i="3" a="1"/>
  <c r="F269" i="3" s="1"/>
  <c r="G269" i="3" a="1"/>
  <c r="G269" i="3" s="1"/>
  <c r="H269" i="3" a="1"/>
  <c r="H269" i="3" s="1"/>
  <c r="I269" i="3" a="1"/>
  <c r="I269" i="3" s="1"/>
  <c r="K269" i="3" a="1"/>
  <c r="K269" i="3" s="1"/>
  <c r="L269" i="3" a="1"/>
  <c r="L269" i="3" s="1"/>
  <c r="M269" i="3" a="1"/>
  <c r="M269" i="3" s="1"/>
  <c r="A270" i="3" a="1"/>
  <c r="A270" i="3" s="1"/>
  <c r="B270" i="3" a="1"/>
  <c r="B270" i="3" s="1"/>
  <c r="C270" i="3" a="1"/>
  <c r="C270" i="3" s="1"/>
  <c r="D270" i="3" a="1"/>
  <c r="D270" i="3" s="1"/>
  <c r="E270" i="3" a="1"/>
  <c r="E270" i="3" s="1"/>
  <c r="F270" i="3" a="1"/>
  <c r="F270" i="3" s="1"/>
  <c r="G270" i="3" a="1"/>
  <c r="G270" i="3" s="1"/>
  <c r="H270" i="3" a="1"/>
  <c r="H270" i="3" s="1"/>
  <c r="I270" i="3" a="1"/>
  <c r="I270" i="3" s="1"/>
  <c r="K270" i="3" a="1"/>
  <c r="K270" i="3" s="1"/>
  <c r="L270" i="3" a="1"/>
  <c r="L270" i="3" s="1"/>
  <c r="M270" i="3" a="1"/>
  <c r="M270" i="3" s="1"/>
  <c r="A271" i="3" a="1"/>
  <c r="A271" i="3" s="1"/>
  <c r="B271" i="3" a="1"/>
  <c r="B271" i="3" s="1"/>
  <c r="C271" i="3" a="1"/>
  <c r="C271" i="3" s="1"/>
  <c r="D271" i="3" a="1"/>
  <c r="D271" i="3" s="1"/>
  <c r="E271" i="3" a="1"/>
  <c r="E271" i="3" s="1"/>
  <c r="F271" i="3" a="1"/>
  <c r="F271" i="3" s="1"/>
  <c r="G271" i="3" a="1"/>
  <c r="G271" i="3" s="1"/>
  <c r="H271" i="3" a="1"/>
  <c r="H271" i="3" s="1"/>
  <c r="I271" i="3" a="1"/>
  <c r="I271" i="3" s="1"/>
  <c r="K271" i="3" a="1"/>
  <c r="K271" i="3" s="1"/>
  <c r="L271" i="3" a="1"/>
  <c r="L271" i="3" s="1"/>
  <c r="M271" i="3" a="1"/>
  <c r="M271" i="3" s="1"/>
  <c r="A272" i="3" a="1"/>
  <c r="A272" i="3" s="1"/>
  <c r="B272" i="3" a="1"/>
  <c r="B272" i="3" s="1"/>
  <c r="C272" i="3" a="1"/>
  <c r="C272" i="3" s="1"/>
  <c r="D272" i="3" a="1"/>
  <c r="D272" i="3" s="1"/>
  <c r="E272" i="3" a="1"/>
  <c r="E272" i="3" s="1"/>
  <c r="F272" i="3" a="1"/>
  <c r="F272" i="3" s="1"/>
  <c r="G272" i="3" a="1"/>
  <c r="G272" i="3" s="1"/>
  <c r="H272" i="3" a="1"/>
  <c r="H272" i="3" s="1"/>
  <c r="K272" i="3" a="1"/>
  <c r="K272" i="3" s="1"/>
  <c r="M272" i="3" a="1"/>
  <c r="M272" i="3" s="1"/>
  <c r="B273" i="3" a="1"/>
  <c r="B273" i="3" s="1"/>
  <c r="D273" i="3" a="1"/>
  <c r="D273" i="3" s="1"/>
  <c r="F273" i="3" a="1"/>
  <c r="F273" i="3" s="1"/>
  <c r="H273" i="3" a="1"/>
  <c r="H273" i="3" s="1"/>
  <c r="K273" i="3" a="1"/>
  <c r="K273" i="3" s="1"/>
  <c r="M273" i="3" a="1"/>
  <c r="M273" i="3" s="1"/>
  <c r="B274" i="3" a="1"/>
  <c r="B274" i="3" s="1"/>
  <c r="D274" i="3" a="1"/>
  <c r="D274" i="3" s="1"/>
  <c r="F274" i="3" a="1"/>
  <c r="F274" i="3" s="1"/>
  <c r="G274" i="3" a="1"/>
  <c r="G274" i="3" s="1"/>
  <c r="K274" i="3" a="1"/>
  <c r="K274" i="3" s="1"/>
  <c r="M274" i="3" a="1"/>
  <c r="M274" i="3" s="1"/>
  <c r="B275" i="3" a="1"/>
  <c r="B275" i="3" s="1"/>
  <c r="D275" i="3" a="1"/>
  <c r="D275" i="3" s="1"/>
  <c r="F275" i="3" a="1"/>
  <c r="F275" i="3" s="1"/>
  <c r="G275" i="3" a="1"/>
  <c r="G275" i="3" s="1"/>
  <c r="I275" i="3" a="1"/>
  <c r="I275" i="3" s="1"/>
  <c r="L275" i="3" a="1"/>
  <c r="L275" i="3" s="1"/>
  <c r="A276" i="3" a="1"/>
  <c r="A276" i="3" s="1"/>
  <c r="C276" i="3" a="1"/>
  <c r="C276" i="3" s="1"/>
  <c r="E276" i="3" a="1"/>
  <c r="E276" i="3" s="1"/>
  <c r="G276" i="3" a="1"/>
  <c r="G276" i="3" s="1"/>
  <c r="I276" i="3" a="1"/>
  <c r="I276" i="3" s="1"/>
  <c r="L276" i="3" a="1"/>
  <c r="L276" i="3" s="1"/>
  <c r="M276" i="3" a="1"/>
  <c r="M276" i="3" s="1"/>
  <c r="B277" i="3" a="1"/>
  <c r="B277" i="3" s="1"/>
  <c r="D277" i="3" a="1"/>
  <c r="D277" i="3" s="1"/>
  <c r="F277" i="3" a="1"/>
  <c r="F277" i="3" s="1"/>
  <c r="H277" i="3" a="1"/>
  <c r="H277" i="3" s="1"/>
  <c r="K277" i="3" a="1"/>
  <c r="K277" i="3" s="1"/>
  <c r="M277" i="3" a="1"/>
  <c r="M277" i="3" s="1"/>
  <c r="B278" i="3" a="1"/>
  <c r="B278" i="3" s="1"/>
  <c r="D278" i="3" a="1"/>
  <c r="D278" i="3" s="1"/>
  <c r="F278" i="3" a="1"/>
  <c r="F278" i="3" s="1"/>
  <c r="H278" i="3" a="1"/>
  <c r="H278" i="3" s="1"/>
  <c r="K278" i="3" a="1"/>
  <c r="K278" i="3" s="1"/>
  <c r="M278" i="3" a="1"/>
  <c r="M278" i="3" s="1"/>
  <c r="B279" i="3" a="1"/>
  <c r="B279" i="3" s="1"/>
  <c r="D279" i="3" a="1"/>
  <c r="D279" i="3" s="1"/>
  <c r="F279" i="3" a="1"/>
  <c r="F279" i="3" s="1"/>
  <c r="H279" i="3" a="1"/>
  <c r="H279" i="3" s="1"/>
  <c r="K279" i="3" a="1"/>
  <c r="K279" i="3" s="1"/>
  <c r="M279" i="3" a="1"/>
  <c r="M279" i="3" s="1"/>
  <c r="B280" i="3" a="1"/>
  <c r="B280" i="3" s="1"/>
  <c r="D280" i="3" a="1"/>
  <c r="D280" i="3" s="1"/>
  <c r="F280" i="3" a="1"/>
  <c r="F280" i="3" s="1"/>
  <c r="H280" i="3" a="1"/>
  <c r="H280" i="3" s="1"/>
  <c r="K280" i="3" a="1"/>
  <c r="K280" i="3" s="1"/>
  <c r="M280" i="3" a="1"/>
  <c r="M280" i="3" s="1"/>
  <c r="B281" i="3" a="1"/>
  <c r="B281" i="3" s="1"/>
  <c r="D281" i="3" a="1"/>
  <c r="D281" i="3" s="1"/>
  <c r="F281" i="3" a="1"/>
  <c r="F281" i="3" s="1"/>
  <c r="H281" i="3" a="1"/>
  <c r="H281" i="3" s="1"/>
  <c r="K281" i="3" a="1"/>
  <c r="K281" i="3" s="1"/>
  <c r="M281" i="3" a="1"/>
  <c r="M281" i="3" s="1"/>
  <c r="B282" i="3" a="1"/>
  <c r="B282" i="3" s="1"/>
  <c r="D282" i="3" a="1"/>
  <c r="D282" i="3" s="1"/>
  <c r="F282" i="3" a="1"/>
  <c r="F282" i="3" s="1"/>
  <c r="H282" i="3" a="1"/>
  <c r="H282" i="3" s="1"/>
  <c r="I282" i="3" a="1"/>
  <c r="I282" i="3" s="1"/>
  <c r="L282" i="3" a="1"/>
  <c r="L282" i="3" s="1"/>
  <c r="A283" i="3" a="1"/>
  <c r="A283" i="3" s="1"/>
  <c r="C283" i="3" a="1"/>
  <c r="C283" i="3" s="1"/>
  <c r="E283" i="3" a="1"/>
  <c r="E283" i="3" s="1"/>
  <c r="H283" i="3" a="1"/>
  <c r="H283" i="3" s="1"/>
  <c r="K283" i="3" a="1"/>
  <c r="K283" i="3" s="1"/>
  <c r="L283" i="3" a="1"/>
  <c r="L283" i="3" s="1"/>
  <c r="A284" i="3" a="1"/>
  <c r="A284" i="3" s="1"/>
  <c r="C284" i="3" a="1"/>
  <c r="C284" i="3" s="1"/>
  <c r="E284" i="3" a="1"/>
  <c r="E284" i="3" s="1"/>
  <c r="G284" i="3" a="1"/>
  <c r="G284" i="3" s="1"/>
  <c r="I284" i="3" a="1"/>
  <c r="I284" i="3" s="1"/>
  <c r="L284" i="3" a="1"/>
  <c r="L284" i="3" s="1"/>
  <c r="A285" i="3" a="1"/>
  <c r="A285" i="3" s="1"/>
  <c r="C285" i="3" a="1"/>
  <c r="C285" i="3" s="1"/>
  <c r="E285" i="3" a="1"/>
  <c r="E285" i="3" s="1"/>
  <c r="G285" i="3" a="1"/>
  <c r="G285" i="3" s="1"/>
  <c r="I285" i="3" a="1"/>
  <c r="I285" i="3" s="1"/>
  <c r="K285" i="3" a="1"/>
  <c r="K285" i="3" s="1"/>
  <c r="M285" i="3" a="1"/>
  <c r="M285" i="3" s="1"/>
  <c r="B286" i="3" a="1"/>
  <c r="B286" i="3" s="1"/>
  <c r="D286" i="3" a="1"/>
  <c r="D286" i="3" s="1"/>
  <c r="F286" i="3" a="1"/>
  <c r="F286" i="3" s="1"/>
  <c r="H286" i="3" a="1"/>
  <c r="H286" i="3" s="1"/>
  <c r="K286" i="3" a="1"/>
  <c r="K286" i="3" s="1"/>
  <c r="M286" i="3" a="1"/>
  <c r="M286" i="3" s="1"/>
  <c r="B287" i="3" a="1"/>
  <c r="B287" i="3" s="1"/>
  <c r="D287" i="3" a="1"/>
  <c r="D287" i="3" s="1"/>
  <c r="F287" i="3" a="1"/>
  <c r="F287" i="3" s="1"/>
  <c r="G287" i="3" a="1"/>
  <c r="G287" i="3" s="1"/>
  <c r="I287" i="3" a="1"/>
  <c r="I287" i="3" s="1"/>
  <c r="L287" i="3" a="1"/>
  <c r="L287" i="3" s="1"/>
  <c r="A288" i="3" a="1"/>
  <c r="A288" i="3" s="1"/>
  <c r="C288" i="3" a="1"/>
  <c r="C288" i="3" s="1"/>
  <c r="D288" i="3" a="1"/>
  <c r="D288" i="3" s="1"/>
  <c r="F288" i="3" a="1"/>
  <c r="F288" i="3" s="1"/>
  <c r="G288" i="3" a="1"/>
  <c r="G288" i="3" s="1"/>
  <c r="H288" i="3" a="1"/>
  <c r="H288" i="3" s="1"/>
  <c r="I288" i="3" a="1"/>
  <c r="I288" i="3" s="1"/>
  <c r="K288" i="3" a="1"/>
  <c r="K288" i="3" s="1"/>
  <c r="L288" i="3" a="1"/>
  <c r="L288" i="3" s="1"/>
  <c r="M288" i="3" a="1"/>
  <c r="M288" i="3" s="1"/>
  <c r="A289" i="3" a="1"/>
  <c r="A289" i="3" s="1"/>
  <c r="B289" i="3" a="1"/>
  <c r="B289" i="3" s="1"/>
  <c r="C289" i="3" a="1"/>
  <c r="C289" i="3" s="1"/>
  <c r="D289" i="3" a="1"/>
  <c r="D289" i="3" s="1"/>
  <c r="E289" i="3" a="1"/>
  <c r="E289" i="3" s="1"/>
  <c r="F289" i="3" a="1"/>
  <c r="F289" i="3" s="1"/>
  <c r="G289" i="3" a="1"/>
  <c r="G289" i="3" s="1"/>
  <c r="H289" i="3" a="1"/>
  <c r="H289" i="3" s="1"/>
  <c r="I289" i="3" a="1"/>
  <c r="I289" i="3" s="1"/>
  <c r="K289" i="3" a="1"/>
  <c r="K289" i="3" s="1"/>
  <c r="L289" i="3" a="1"/>
  <c r="L289" i="3" s="1"/>
  <c r="M289" i="3" a="1"/>
  <c r="M289" i="3" s="1"/>
  <c r="A290" i="3" a="1"/>
  <c r="A290" i="3" s="1"/>
  <c r="B290" i="3" a="1"/>
  <c r="B290" i="3" s="1"/>
  <c r="C290" i="3" a="1"/>
  <c r="C290" i="3" s="1"/>
  <c r="D290" i="3" a="1"/>
  <c r="D290" i="3" s="1"/>
  <c r="E290" i="3" a="1"/>
  <c r="E290" i="3" s="1"/>
  <c r="F290" i="3" a="1"/>
  <c r="F290" i="3" s="1"/>
  <c r="G290" i="3" a="1"/>
  <c r="G290" i="3" s="1"/>
  <c r="H290" i="3" a="1"/>
  <c r="H290" i="3" s="1"/>
  <c r="I290" i="3" a="1"/>
  <c r="I290" i="3" s="1"/>
  <c r="K290" i="3" a="1"/>
  <c r="K290" i="3" s="1"/>
  <c r="L290" i="3" a="1"/>
  <c r="L290" i="3" s="1"/>
  <c r="M290" i="3" a="1"/>
  <c r="M290" i="3" s="1"/>
  <c r="A291" i="3" a="1"/>
  <c r="A291" i="3" s="1"/>
  <c r="B291" i="3" a="1"/>
  <c r="B291" i="3" s="1"/>
  <c r="C291" i="3" a="1"/>
  <c r="C291" i="3" s="1"/>
  <c r="D291" i="3" a="1"/>
  <c r="D291" i="3" s="1"/>
  <c r="E291" i="3" a="1"/>
  <c r="E291" i="3" s="1"/>
  <c r="F291" i="3" a="1"/>
  <c r="F291" i="3" s="1"/>
  <c r="G291" i="3" a="1"/>
  <c r="G291" i="3" s="1"/>
  <c r="H291" i="3" a="1"/>
  <c r="H291" i="3" s="1"/>
  <c r="I291" i="3" a="1"/>
  <c r="I291" i="3" s="1"/>
  <c r="K291" i="3" a="1"/>
  <c r="K291" i="3" s="1"/>
  <c r="L291" i="3" a="1"/>
  <c r="L291" i="3" s="1"/>
  <c r="M291" i="3" a="1"/>
  <c r="M291" i="3" s="1"/>
  <c r="A292" i="3" a="1"/>
  <c r="A292" i="3" s="1"/>
  <c r="B292" i="3" a="1"/>
  <c r="B292" i="3" s="1"/>
  <c r="C292" i="3" a="1"/>
  <c r="C292" i="3" s="1"/>
  <c r="D292" i="3" a="1"/>
  <c r="D292" i="3" s="1"/>
  <c r="E292" i="3" a="1"/>
  <c r="E292" i="3" s="1"/>
  <c r="F292" i="3" a="1"/>
  <c r="F292" i="3" s="1"/>
  <c r="G292" i="3" a="1"/>
  <c r="G292" i="3" s="1"/>
  <c r="H292" i="3" a="1"/>
  <c r="H292" i="3" s="1"/>
  <c r="I292" i="3" a="1"/>
  <c r="I292" i="3" s="1"/>
  <c r="K292" i="3" a="1"/>
  <c r="K292" i="3" s="1"/>
  <c r="L292" i="3" a="1"/>
  <c r="L292" i="3" s="1"/>
  <c r="A293" i="3" a="1"/>
  <c r="A293" i="3" s="1"/>
  <c r="C293" i="3" a="1"/>
  <c r="C293" i="3" s="1"/>
  <c r="E293" i="3" a="1"/>
  <c r="E293" i="3" s="1"/>
  <c r="G293" i="3" a="1"/>
  <c r="G293" i="3" s="1"/>
  <c r="H293" i="3" a="1"/>
  <c r="H293" i="3" s="1"/>
  <c r="K293" i="3" a="1"/>
  <c r="K293" i="3" s="1"/>
  <c r="M293" i="3" a="1"/>
  <c r="M293" i="3" s="1"/>
  <c r="B294" i="3" a="1"/>
  <c r="B294" i="3" s="1"/>
  <c r="D294" i="3" a="1"/>
  <c r="D294" i="3" s="1"/>
  <c r="F294" i="3" a="1"/>
  <c r="F294" i="3" s="1"/>
  <c r="H294" i="3" a="1"/>
  <c r="H294" i="3" s="1"/>
  <c r="K294" i="3" a="1"/>
  <c r="K294" i="3" s="1"/>
  <c r="M294" i="3" a="1"/>
  <c r="M294" i="3" s="1"/>
  <c r="B295" i="3" a="1"/>
  <c r="B295" i="3" s="1"/>
  <c r="D295" i="3" a="1"/>
  <c r="D295" i="3" s="1"/>
  <c r="F295" i="3" a="1"/>
  <c r="F295" i="3" s="1"/>
  <c r="H295" i="3" a="1"/>
  <c r="H295" i="3" s="1"/>
  <c r="K295" i="3" a="1"/>
  <c r="K295" i="3" s="1"/>
  <c r="M295" i="3" a="1"/>
  <c r="M295" i="3" s="1"/>
  <c r="B296" i="3" a="1"/>
  <c r="B296" i="3" s="1"/>
  <c r="D296" i="3" a="1"/>
  <c r="D296" i="3" s="1"/>
  <c r="F296" i="3" a="1"/>
  <c r="F296" i="3" s="1"/>
  <c r="H296" i="3" a="1"/>
  <c r="H296" i="3" s="1"/>
  <c r="K296" i="3" a="1"/>
  <c r="K296" i="3" s="1"/>
  <c r="M296" i="3" a="1"/>
  <c r="M296" i="3" s="1"/>
  <c r="B297" i="3" a="1"/>
  <c r="B297" i="3" s="1"/>
  <c r="D297" i="3" a="1"/>
  <c r="D297" i="3" s="1"/>
  <c r="F297" i="3" a="1"/>
  <c r="F297" i="3" s="1"/>
  <c r="H297" i="3" a="1"/>
  <c r="H297" i="3" s="1"/>
  <c r="K297" i="3" a="1"/>
  <c r="K297" i="3" s="1"/>
  <c r="M297" i="3" a="1"/>
  <c r="M297" i="3" s="1"/>
  <c r="B298" i="3" a="1"/>
  <c r="B298" i="3" s="1"/>
  <c r="D298" i="3" a="1"/>
  <c r="D298" i="3" s="1"/>
  <c r="F298" i="3" a="1"/>
  <c r="F298" i="3" s="1"/>
  <c r="H298" i="3" a="1"/>
  <c r="H298" i="3" s="1"/>
  <c r="K298" i="3" a="1"/>
  <c r="K298" i="3" s="1"/>
  <c r="M298" i="3" a="1"/>
  <c r="M298" i="3" s="1"/>
  <c r="B299" i="3" a="1"/>
  <c r="B299" i="3" s="1"/>
  <c r="D299" i="3" a="1"/>
  <c r="D299" i="3" s="1"/>
  <c r="F299" i="3" a="1"/>
  <c r="F299" i="3" s="1"/>
  <c r="H299" i="3" a="1"/>
  <c r="H299" i="3" s="1"/>
  <c r="K299" i="3" a="1"/>
  <c r="K299" i="3" s="1"/>
  <c r="L299" i="3" a="1"/>
  <c r="L299" i="3" s="1"/>
  <c r="A300" i="3" a="1"/>
  <c r="A300" i="3" s="1"/>
  <c r="C300" i="3" a="1"/>
  <c r="C300" i="3" s="1"/>
  <c r="E300" i="3" a="1"/>
  <c r="E300" i="3" s="1"/>
  <c r="G300" i="3" a="1"/>
  <c r="G300" i="3" s="1"/>
  <c r="I300" i="3" a="1"/>
  <c r="I300" i="3" s="1"/>
  <c r="L300" i="3" a="1"/>
  <c r="L300" i="3" s="1"/>
  <c r="A301" i="3" a="1"/>
  <c r="A301" i="3" s="1"/>
  <c r="C301" i="3" a="1"/>
  <c r="C301" i="3" s="1"/>
  <c r="E301" i="3" a="1"/>
  <c r="E301" i="3" s="1"/>
  <c r="G301" i="3" a="1"/>
  <c r="G301" i="3" s="1"/>
  <c r="I301" i="3" a="1"/>
  <c r="I301" i="3" s="1"/>
  <c r="L301" i="3" a="1"/>
  <c r="L301" i="3" s="1"/>
  <c r="A302" i="3" a="1"/>
  <c r="A302" i="3" s="1"/>
  <c r="C302" i="3" a="1"/>
  <c r="C302" i="3" s="1"/>
  <c r="F302" i="3" a="1"/>
  <c r="F302" i="3" s="1"/>
  <c r="H302" i="3" a="1"/>
  <c r="H302" i="3" s="1"/>
  <c r="K302" i="3" a="1"/>
  <c r="K302" i="3" s="1"/>
  <c r="M302" i="3" a="1"/>
  <c r="M302" i="3" s="1"/>
  <c r="B303" i="3" a="1"/>
  <c r="B303" i="3" s="1"/>
  <c r="D303" i="3" a="1"/>
  <c r="D303" i="3" s="1"/>
  <c r="F303" i="3" a="1"/>
  <c r="F303" i="3" s="1"/>
  <c r="H303" i="3" a="1"/>
  <c r="H303" i="3" s="1"/>
  <c r="K303" i="3" a="1"/>
  <c r="K303" i="3" s="1"/>
  <c r="M303" i="3" a="1"/>
  <c r="M303" i="3" s="1"/>
  <c r="B304" i="3" a="1"/>
  <c r="B304" i="3" s="1"/>
  <c r="D304" i="3" a="1"/>
  <c r="D304" i="3" s="1"/>
  <c r="F304" i="3" a="1"/>
  <c r="F304" i="3" s="1"/>
  <c r="H304" i="3" a="1"/>
  <c r="H304" i="3" s="1"/>
  <c r="K304" i="3" a="1"/>
  <c r="K304" i="3" s="1"/>
  <c r="M304" i="3" a="1"/>
  <c r="M304" i="3" s="1"/>
  <c r="B305" i="3" a="1"/>
  <c r="B305" i="3" s="1"/>
  <c r="D305" i="3" a="1"/>
  <c r="D305" i="3" s="1"/>
  <c r="F305" i="3" a="1"/>
  <c r="F305" i="3" s="1"/>
  <c r="H305" i="3" a="1"/>
  <c r="H305" i="3" s="1"/>
  <c r="K305" i="3" a="1"/>
  <c r="K305" i="3" s="1"/>
  <c r="M305" i="3" a="1"/>
  <c r="M305" i="3" s="1"/>
  <c r="B306" i="3" a="1"/>
  <c r="B306" i="3" s="1"/>
  <c r="D306" i="3" a="1"/>
  <c r="D306" i="3" s="1"/>
  <c r="F306" i="3" a="1"/>
  <c r="F306" i="3" s="1"/>
  <c r="H306" i="3" a="1"/>
  <c r="H306" i="3" s="1"/>
  <c r="K306" i="3" a="1"/>
  <c r="K306" i="3" s="1"/>
  <c r="M306" i="3" a="1"/>
  <c r="M306" i="3" s="1"/>
  <c r="B307" i="3" a="1"/>
  <c r="B307" i="3" s="1"/>
  <c r="D307" i="3" a="1"/>
  <c r="D307" i="3" s="1"/>
  <c r="F307" i="3" a="1"/>
  <c r="F307" i="3" s="1"/>
  <c r="G307" i="3" a="1"/>
  <c r="G307" i="3" s="1"/>
  <c r="I307" i="3" a="1"/>
  <c r="I307" i="3" s="1"/>
  <c r="L307" i="3" a="1"/>
  <c r="L307" i="3" s="1"/>
  <c r="A308" i="3" a="1"/>
  <c r="A308" i="3" s="1"/>
  <c r="L308" i="3" a="1"/>
  <c r="L308" i="3" s="1"/>
  <c r="A309" i="3" a="1"/>
  <c r="A309" i="3" s="1"/>
  <c r="C309" i="3" a="1"/>
  <c r="C309" i="3" s="1"/>
  <c r="E309" i="3" a="1"/>
  <c r="E309" i="3" s="1"/>
  <c r="G309" i="3" a="1"/>
  <c r="G309" i="3" s="1"/>
  <c r="I309" i="3" a="1"/>
  <c r="I309" i="3" s="1"/>
  <c r="L309" i="3" a="1"/>
  <c r="L309" i="3" s="1"/>
  <c r="A310" i="3" a="1"/>
  <c r="A310" i="3" s="1"/>
  <c r="C310" i="3" a="1"/>
  <c r="C310" i="3" s="1"/>
  <c r="E310" i="3" a="1"/>
  <c r="E310" i="3" s="1"/>
  <c r="G310" i="3" a="1"/>
  <c r="G310" i="3" s="1"/>
  <c r="I310" i="3" a="1"/>
  <c r="I310" i="3" s="1"/>
  <c r="L310" i="3" a="1"/>
  <c r="L310" i="3" s="1"/>
  <c r="A311" i="3" a="1"/>
  <c r="A311" i="3" s="1"/>
  <c r="C311" i="3" a="1"/>
  <c r="C311" i="3" s="1"/>
  <c r="E311" i="3" a="1"/>
  <c r="E311" i="3" s="1"/>
  <c r="G311" i="3" a="1"/>
  <c r="G311" i="3" s="1"/>
  <c r="I311" i="3" a="1"/>
  <c r="I311" i="3" s="1"/>
  <c r="L311" i="3" a="1"/>
  <c r="L311" i="3" s="1"/>
  <c r="A312" i="3" a="1"/>
  <c r="A312" i="3" s="1"/>
  <c r="C312" i="3" a="1"/>
  <c r="C312" i="3" s="1"/>
  <c r="E312" i="3" a="1"/>
  <c r="E312" i="3" s="1"/>
  <c r="G312" i="3" a="1"/>
  <c r="G312" i="3" s="1"/>
  <c r="I312" i="3" a="1"/>
  <c r="I312" i="3" s="1"/>
  <c r="L312" i="3" a="1"/>
  <c r="L312" i="3" s="1"/>
  <c r="A313" i="3" a="1"/>
  <c r="A313" i="3" s="1"/>
  <c r="C313" i="3" a="1"/>
  <c r="C313" i="3" s="1"/>
  <c r="E313" i="3" a="1"/>
  <c r="E313" i="3" s="1"/>
  <c r="G313" i="3" a="1"/>
  <c r="G313" i="3" s="1"/>
  <c r="I313" i="3" a="1"/>
  <c r="I313" i="3" s="1"/>
  <c r="L313" i="3" a="1"/>
  <c r="L313" i="3" s="1"/>
  <c r="A314" i="3" a="1"/>
  <c r="A314" i="3" s="1"/>
  <c r="C314" i="3" a="1"/>
  <c r="C314" i="3" s="1"/>
  <c r="E314" i="3" a="1"/>
  <c r="E314" i="3" s="1"/>
  <c r="G314" i="3" a="1"/>
  <c r="G314" i="3" s="1"/>
  <c r="I314" i="3" a="1"/>
  <c r="I314" i="3" s="1"/>
  <c r="L314" i="3" a="1"/>
  <c r="L314" i="3" s="1"/>
  <c r="A315" i="3" a="1"/>
  <c r="A315" i="3" s="1"/>
  <c r="C315" i="3" a="1"/>
  <c r="C315" i="3" s="1"/>
  <c r="E315" i="3" a="1"/>
  <c r="E315" i="3" s="1"/>
  <c r="G315" i="3" a="1"/>
  <c r="G315" i="3" s="1"/>
  <c r="I315" i="3" a="1"/>
  <c r="I315" i="3" s="1"/>
  <c r="L315" i="3" a="1"/>
  <c r="L315" i="3" s="1"/>
  <c r="A316" i="3" a="1"/>
  <c r="A316" i="3" s="1"/>
  <c r="C316" i="3" a="1"/>
  <c r="C316" i="3" s="1"/>
  <c r="E316" i="3" a="1"/>
  <c r="E316" i="3" s="1"/>
  <c r="G316" i="3" a="1"/>
  <c r="G316" i="3" s="1"/>
  <c r="I316" i="3" a="1"/>
  <c r="I316" i="3" s="1"/>
  <c r="L316" i="3" a="1"/>
  <c r="L316" i="3" s="1"/>
  <c r="A317" i="3" a="1"/>
  <c r="A317" i="3" s="1"/>
  <c r="C317" i="3" a="1"/>
  <c r="C317" i="3" s="1"/>
  <c r="E317" i="3" a="1"/>
  <c r="E317" i="3" s="1"/>
  <c r="G317" i="3" a="1"/>
  <c r="G317" i="3" s="1"/>
  <c r="I317" i="3" a="1"/>
  <c r="I317" i="3" s="1"/>
  <c r="L317" i="3" a="1"/>
  <c r="L317" i="3" s="1"/>
  <c r="A318" i="3" a="1"/>
  <c r="A318" i="3" s="1"/>
  <c r="C318" i="3" a="1"/>
  <c r="C318" i="3" s="1"/>
  <c r="E318" i="3" a="1"/>
  <c r="E318" i="3" s="1"/>
  <c r="G318" i="3" a="1"/>
  <c r="G318" i="3" s="1"/>
  <c r="I318" i="3" a="1"/>
  <c r="I318" i="3" s="1"/>
  <c r="L318" i="3" a="1"/>
  <c r="L318" i="3" s="1"/>
  <c r="A319" i="3" a="1"/>
  <c r="A319" i="3" s="1"/>
  <c r="C319" i="3" a="1"/>
  <c r="C319" i="3" s="1"/>
  <c r="E319" i="3" a="1"/>
  <c r="E319" i="3" s="1"/>
  <c r="G319" i="3" a="1"/>
  <c r="G319" i="3" s="1"/>
  <c r="I319" i="3" a="1"/>
  <c r="I319" i="3" s="1"/>
  <c r="L319" i="3" a="1"/>
  <c r="L319" i="3" s="1"/>
  <c r="A320" i="3" a="1"/>
  <c r="A320" i="3" s="1"/>
  <c r="C320" i="3" a="1"/>
  <c r="C320" i="3" s="1"/>
  <c r="E320" i="3" a="1"/>
  <c r="E320" i="3" s="1"/>
  <c r="G320" i="3" a="1"/>
  <c r="G320" i="3" s="1"/>
  <c r="I320" i="3" a="1"/>
  <c r="I320" i="3" s="1"/>
  <c r="L320" i="3" a="1"/>
  <c r="L320" i="3" s="1"/>
  <c r="A321" i="3" a="1"/>
  <c r="A321" i="3" s="1"/>
  <c r="C321" i="3" a="1"/>
  <c r="C321" i="3" s="1"/>
  <c r="E321" i="3" a="1"/>
  <c r="E321" i="3" s="1"/>
  <c r="G321" i="3" a="1"/>
  <c r="G321" i="3" s="1"/>
  <c r="K321" i="3" a="1"/>
  <c r="K321" i="3" s="1"/>
  <c r="M321" i="3" a="1"/>
  <c r="M321" i="3" s="1"/>
  <c r="A322" i="3" a="1"/>
  <c r="A322" i="3" s="1"/>
  <c r="C322" i="3" a="1"/>
  <c r="C322" i="3" s="1"/>
  <c r="E322" i="3" a="1"/>
  <c r="E322" i="3" s="1"/>
  <c r="G322" i="3" a="1"/>
  <c r="G322" i="3" s="1"/>
  <c r="K322" i="3" a="1"/>
  <c r="K322" i="3" s="1"/>
  <c r="M322" i="3" a="1"/>
  <c r="M322" i="3" s="1"/>
  <c r="B323" i="3" a="1"/>
  <c r="B323" i="3" s="1"/>
  <c r="D323" i="3" a="1"/>
  <c r="D323" i="3" s="1"/>
  <c r="F323" i="3" a="1"/>
  <c r="F323" i="3" s="1"/>
  <c r="H323" i="3" a="1"/>
  <c r="H323" i="3" s="1"/>
  <c r="I323" i="3" a="1"/>
  <c r="I323" i="3" s="1"/>
  <c r="L323" i="3" a="1"/>
  <c r="L323" i="3" s="1"/>
  <c r="A324" i="3" a="1"/>
  <c r="A324" i="3" s="1"/>
  <c r="C324" i="3" a="1"/>
  <c r="C324" i="3" s="1"/>
  <c r="E324" i="3" a="1"/>
  <c r="E324" i="3" s="1"/>
  <c r="G324" i="3" a="1"/>
  <c r="G324" i="3" s="1"/>
  <c r="I324" i="3" a="1"/>
  <c r="I324" i="3" s="1"/>
  <c r="M324" i="3" a="1"/>
  <c r="M324" i="3" s="1"/>
  <c r="B325" i="3" a="1"/>
  <c r="B325" i="3" s="1"/>
  <c r="D325" i="3" a="1"/>
  <c r="D325" i="3" s="1"/>
  <c r="I325" i="3" a="1"/>
  <c r="I325" i="3" s="1"/>
  <c r="L325" i="3" a="1"/>
  <c r="L325" i="3" s="1"/>
  <c r="A326" i="3" a="1"/>
  <c r="A326" i="3" s="1"/>
  <c r="C326" i="3" a="1"/>
  <c r="C326" i="3" s="1"/>
  <c r="E326" i="3" a="1"/>
  <c r="E326" i="3" s="1"/>
  <c r="G326" i="3" a="1"/>
  <c r="G326" i="3" s="1"/>
  <c r="I326" i="3" a="1"/>
  <c r="I326" i="3" s="1"/>
  <c r="L326" i="3" a="1"/>
  <c r="L326" i="3" s="1"/>
  <c r="B327" i="3" a="1"/>
  <c r="B327" i="3" s="1"/>
  <c r="D327" i="3" a="1"/>
  <c r="D327" i="3" s="1"/>
  <c r="E327" i="3" a="1"/>
  <c r="E327" i="3" s="1"/>
  <c r="G327" i="3" a="1"/>
  <c r="G327" i="3" s="1"/>
  <c r="I327" i="3" a="1"/>
  <c r="I327" i="3" s="1"/>
  <c r="L327" i="3" a="1"/>
  <c r="L327" i="3" s="1"/>
  <c r="A328" i="3" a="1"/>
  <c r="A328" i="3" s="1"/>
  <c r="C328" i="3" a="1"/>
  <c r="C328" i="3" s="1"/>
  <c r="E328" i="3" a="1"/>
  <c r="E328" i="3" s="1"/>
  <c r="G328" i="3" a="1"/>
  <c r="G328" i="3" s="1"/>
  <c r="I328" i="3" a="1"/>
  <c r="I328" i="3" s="1"/>
  <c r="L328" i="3" a="1"/>
  <c r="L328" i="3" s="1"/>
  <c r="B329" i="3" a="1"/>
  <c r="B329" i="3" s="1"/>
  <c r="D329" i="3" a="1"/>
  <c r="D329" i="3" s="1"/>
  <c r="F329" i="3" a="1"/>
  <c r="F329" i="3" s="1"/>
  <c r="H329" i="3" a="1"/>
  <c r="H329" i="3" s="1"/>
  <c r="K329" i="3" a="1"/>
  <c r="K329" i="3" s="1"/>
  <c r="M329" i="3" a="1"/>
  <c r="M329" i="3" s="1"/>
  <c r="B330" i="3" a="1"/>
  <c r="B330" i="3" s="1"/>
  <c r="D330" i="3" a="1"/>
  <c r="D330" i="3" s="1"/>
  <c r="F330" i="3" a="1"/>
  <c r="F330" i="3" s="1"/>
  <c r="G330" i="3" a="1"/>
  <c r="G330" i="3" s="1"/>
  <c r="I330" i="3" a="1"/>
  <c r="I330" i="3" s="1"/>
  <c r="L330" i="3" a="1"/>
  <c r="L330" i="3" s="1"/>
  <c r="A331" i="3" a="1"/>
  <c r="A331" i="3" s="1"/>
  <c r="C331" i="3" a="1"/>
  <c r="C331" i="3" s="1"/>
  <c r="F331" i="3" a="1"/>
  <c r="F331" i="3" s="1"/>
  <c r="H331" i="3" a="1"/>
  <c r="H331" i="3" s="1"/>
  <c r="I331" i="3" a="1"/>
  <c r="I331" i="3" s="1"/>
  <c r="L331" i="3" a="1"/>
  <c r="L331" i="3" s="1"/>
  <c r="A332" i="3" a="1"/>
  <c r="A332" i="3" s="1"/>
  <c r="C332" i="3" a="1"/>
  <c r="C332" i="3" s="1"/>
  <c r="E332" i="3" a="1"/>
  <c r="E332" i="3" s="1"/>
  <c r="G332" i="3" a="1"/>
  <c r="G332" i="3" s="1"/>
  <c r="I332" i="3" a="1"/>
  <c r="I332" i="3" s="1"/>
  <c r="L332" i="3" a="1"/>
  <c r="L332" i="3" s="1"/>
  <c r="A333" i="3" a="1"/>
  <c r="A333" i="3" s="1"/>
  <c r="C333" i="3" a="1"/>
  <c r="C333" i="3" s="1"/>
  <c r="E333" i="3" a="1"/>
  <c r="E333" i="3" s="1"/>
  <c r="G333" i="3" a="1"/>
  <c r="G333" i="3" s="1"/>
  <c r="I333" i="3" a="1"/>
  <c r="I333" i="3" s="1"/>
  <c r="L333" i="3" a="1"/>
  <c r="L333" i="3" s="1"/>
  <c r="A334" i="3" a="1"/>
  <c r="A334" i="3" s="1"/>
  <c r="C334" i="3" a="1"/>
  <c r="C334" i="3" s="1"/>
  <c r="E334" i="3" a="1"/>
  <c r="E334" i="3" s="1"/>
  <c r="G334" i="3" a="1"/>
  <c r="G334" i="3" s="1"/>
  <c r="I334" i="3" a="1"/>
  <c r="I334" i="3" s="1"/>
  <c r="L334" i="3" a="1"/>
  <c r="L334" i="3" s="1"/>
  <c r="A335" i="3" a="1"/>
  <c r="A335" i="3" s="1"/>
  <c r="C335" i="3" a="1"/>
  <c r="C335" i="3" s="1"/>
  <c r="E335" i="3" a="1"/>
  <c r="E335" i="3" s="1"/>
  <c r="G335" i="3" a="1"/>
  <c r="G335" i="3" s="1"/>
  <c r="I335" i="3" a="1"/>
  <c r="I335" i="3" s="1"/>
  <c r="L335" i="3" a="1"/>
  <c r="L335" i="3" s="1"/>
  <c r="A336" i="3" a="1"/>
  <c r="A336" i="3" s="1"/>
  <c r="C336" i="3" a="1"/>
  <c r="C336" i="3" s="1"/>
  <c r="E336" i="3" a="1"/>
  <c r="E336" i="3" s="1"/>
  <c r="G336" i="3" a="1"/>
  <c r="G336" i="3" s="1"/>
  <c r="I336" i="3" a="1"/>
  <c r="I336" i="3" s="1"/>
  <c r="L336" i="3" a="1"/>
  <c r="L336" i="3" s="1"/>
  <c r="A337" i="3" a="1"/>
  <c r="A337" i="3" s="1"/>
  <c r="D337" i="3" a="1"/>
  <c r="D337" i="3" s="1"/>
  <c r="F337" i="3" a="1"/>
  <c r="F337" i="3" s="1"/>
  <c r="K338" i="3" a="1"/>
  <c r="K338" i="3" s="1"/>
  <c r="M338" i="3" a="1"/>
  <c r="M338" i="3" s="1"/>
  <c r="B339" i="3" a="1"/>
  <c r="B339" i="3" s="1"/>
  <c r="D339" i="3" a="1"/>
  <c r="D339" i="3" s="1"/>
  <c r="F339" i="3" a="1"/>
  <c r="F339" i="3" s="1"/>
  <c r="H339" i="3" a="1"/>
  <c r="H339" i="3" s="1"/>
  <c r="K339" i="3" a="1"/>
  <c r="K339" i="3" s="1"/>
  <c r="M339" i="3" a="1"/>
  <c r="M339" i="3" s="1"/>
  <c r="B340" i="3" a="1"/>
  <c r="B340" i="3" s="1"/>
  <c r="D340" i="3" a="1"/>
  <c r="D340" i="3" s="1"/>
  <c r="F340" i="3" a="1"/>
  <c r="F340" i="3" s="1"/>
  <c r="H340" i="3" a="1"/>
  <c r="H340" i="3" s="1"/>
  <c r="K340" i="3" a="1"/>
  <c r="K340" i="3" s="1"/>
  <c r="M340" i="3" a="1"/>
  <c r="M340" i="3" s="1"/>
  <c r="B341" i="3" a="1"/>
  <c r="B341" i="3" s="1"/>
  <c r="D341" i="3" a="1"/>
  <c r="D341" i="3" s="1"/>
  <c r="F341" i="3" a="1"/>
  <c r="F341" i="3" s="1"/>
  <c r="H341" i="3" a="1"/>
  <c r="H341" i="3" s="1"/>
  <c r="K341" i="3" a="1"/>
  <c r="K341" i="3" s="1"/>
  <c r="M341" i="3" a="1"/>
  <c r="M341" i="3" s="1"/>
  <c r="B342" i="3" a="1"/>
  <c r="B342" i="3" s="1"/>
  <c r="D342" i="3" a="1"/>
  <c r="D342" i="3" s="1"/>
  <c r="F342" i="3" a="1"/>
  <c r="F342" i="3" s="1"/>
  <c r="H342" i="3" a="1"/>
  <c r="H342" i="3" s="1"/>
  <c r="K342" i="3" a="1"/>
  <c r="K342" i="3" s="1"/>
  <c r="M342" i="3" a="1"/>
  <c r="M342" i="3" s="1"/>
  <c r="B343" i="3" a="1"/>
  <c r="B343" i="3" s="1"/>
  <c r="D343" i="3" a="1"/>
  <c r="D343" i="3" s="1"/>
  <c r="F343" i="3" a="1"/>
  <c r="F343" i="3" s="1"/>
  <c r="H343" i="3" a="1"/>
  <c r="H343" i="3" s="1"/>
  <c r="K343" i="3" a="1"/>
  <c r="K343" i="3" s="1"/>
  <c r="M343" i="3" a="1"/>
  <c r="M343" i="3" s="1"/>
  <c r="B344" i="3" a="1"/>
  <c r="B344" i="3" s="1"/>
  <c r="D344" i="3" a="1"/>
  <c r="D344" i="3" s="1"/>
  <c r="F344" i="3" a="1"/>
  <c r="F344" i="3" s="1"/>
  <c r="H344" i="3" a="1"/>
  <c r="H344" i="3" s="1"/>
  <c r="K344" i="3" a="1"/>
  <c r="K344" i="3" s="1"/>
  <c r="M344" i="3" a="1"/>
  <c r="M344" i="3" s="1"/>
  <c r="B345" i="3" a="1"/>
  <c r="B345" i="3" s="1"/>
  <c r="D345" i="3" a="1"/>
  <c r="D345" i="3" s="1"/>
  <c r="F345" i="3" a="1"/>
  <c r="F345" i="3" s="1"/>
  <c r="I345" i="3" a="1"/>
  <c r="I345" i="3" s="1"/>
  <c r="L345" i="3" a="1"/>
  <c r="L345" i="3" s="1"/>
  <c r="A346" i="3" a="1"/>
  <c r="A346" i="3" s="1"/>
  <c r="C346" i="3" a="1"/>
  <c r="C346" i="3" s="1"/>
  <c r="E346" i="3" a="1"/>
  <c r="E346" i="3" s="1"/>
  <c r="H346" i="3" a="1"/>
  <c r="H346" i="3" s="1"/>
  <c r="K346" i="3" a="1"/>
  <c r="K346" i="3" s="1"/>
  <c r="M346" i="3" a="1"/>
  <c r="M346" i="3" s="1"/>
  <c r="B347" i="3" a="1"/>
  <c r="B347" i="3" s="1"/>
  <c r="D347" i="3" a="1"/>
  <c r="D347" i="3" s="1"/>
  <c r="F347" i="3" a="1"/>
  <c r="F347" i="3" s="1"/>
  <c r="H347" i="3" a="1"/>
  <c r="H347" i="3" s="1"/>
  <c r="K347" i="3" a="1"/>
  <c r="K347" i="3" s="1"/>
  <c r="M347" i="3" a="1"/>
  <c r="M347" i="3" s="1"/>
  <c r="C348" i="3" a="1"/>
  <c r="C348" i="3" s="1"/>
  <c r="K349" i="3" a="1"/>
  <c r="K349" i="3" s="1"/>
  <c r="M349" i="3" a="1"/>
  <c r="M349" i="3" s="1"/>
  <c r="B350" i="3" a="1"/>
  <c r="B350" i="3" s="1"/>
  <c r="D350" i="3" a="1"/>
  <c r="D350" i="3" s="1"/>
  <c r="F350" i="3" a="1"/>
  <c r="F350" i="3" s="1"/>
  <c r="H350" i="3" a="1"/>
  <c r="H350" i="3" s="1"/>
  <c r="K350" i="3" a="1"/>
  <c r="K350" i="3" s="1"/>
  <c r="M350" i="3" a="1"/>
  <c r="M350" i="3" s="1"/>
  <c r="B351" i="3" a="1"/>
  <c r="B351" i="3" s="1"/>
  <c r="D351" i="3" a="1"/>
  <c r="D351" i="3" s="1"/>
  <c r="F351" i="3" a="1"/>
  <c r="F351" i="3" s="1"/>
  <c r="H351" i="3" a="1"/>
  <c r="H351" i="3" s="1"/>
  <c r="K351" i="3" a="1"/>
  <c r="K351" i="3" s="1"/>
  <c r="M351" i="3" a="1"/>
  <c r="M351" i="3" s="1"/>
  <c r="B352" i="3" a="1"/>
  <c r="B352" i="3" s="1"/>
  <c r="D352" i="3" a="1"/>
  <c r="D352" i="3" s="1"/>
  <c r="F352" i="3" a="1"/>
  <c r="F352" i="3" s="1"/>
  <c r="H352" i="3" a="1"/>
  <c r="H352" i="3" s="1"/>
  <c r="K352" i="3" a="1"/>
  <c r="K352" i="3" s="1"/>
  <c r="M352" i="3" a="1"/>
  <c r="M352" i="3" s="1"/>
  <c r="B353" i="3" a="1"/>
  <c r="B353" i="3" s="1"/>
  <c r="D353" i="3" a="1"/>
  <c r="D353" i="3" s="1"/>
  <c r="F353" i="3" a="1"/>
  <c r="F353" i="3" s="1"/>
  <c r="I353" i="3" a="1"/>
  <c r="I353" i="3" s="1"/>
  <c r="L353" i="3" a="1"/>
  <c r="L353" i="3" s="1"/>
  <c r="A354" i="3" a="1"/>
  <c r="A354" i="3" s="1"/>
  <c r="C354" i="3" a="1"/>
  <c r="C354" i="3" s="1"/>
  <c r="E354" i="3" a="1"/>
  <c r="E354" i="3" s="1"/>
  <c r="G355" i="3" a="1"/>
  <c r="G355" i="3" s="1"/>
  <c r="I355" i="3" a="1"/>
  <c r="I355" i="3" s="1"/>
  <c r="L355" i="3" a="1"/>
  <c r="L355" i="3" s="1"/>
  <c r="A356" i="3" a="1"/>
  <c r="A356" i="3" s="1"/>
  <c r="C356" i="3" a="1"/>
  <c r="C356" i="3" s="1"/>
  <c r="E356" i="3" a="1"/>
  <c r="E356" i="3" s="1"/>
  <c r="G356" i="3" a="1"/>
  <c r="G356" i="3" s="1"/>
  <c r="I356" i="3" a="1"/>
  <c r="I356" i="3" s="1"/>
  <c r="L356" i="3" a="1"/>
  <c r="L356" i="3" s="1"/>
  <c r="A357" i="3" a="1"/>
  <c r="A357" i="3" s="1"/>
  <c r="C357" i="3" a="1"/>
  <c r="C357" i="3" s="1"/>
  <c r="F357" i="3" a="1"/>
  <c r="F357" i="3" s="1"/>
  <c r="H357" i="3" a="1"/>
  <c r="H357" i="3" s="1"/>
  <c r="K357" i="3" a="1"/>
  <c r="K357" i="3" s="1"/>
  <c r="M357" i="3" a="1"/>
  <c r="M357" i="3" s="1"/>
  <c r="B358" i="3" a="1"/>
  <c r="B358" i="3" s="1"/>
  <c r="D358" i="3" a="1"/>
  <c r="D358" i="3" s="1"/>
  <c r="F358" i="3" a="1"/>
  <c r="F358" i="3" s="1"/>
  <c r="H358" i="3" a="1"/>
  <c r="H358" i="3" s="1"/>
  <c r="K358" i="3" a="1"/>
  <c r="K358" i="3" s="1"/>
  <c r="M358" i="3" a="1"/>
  <c r="M358" i="3" s="1"/>
  <c r="B359" i="3" a="1"/>
  <c r="B359" i="3" s="1"/>
  <c r="D359" i="3" a="1"/>
  <c r="D359" i="3" s="1"/>
  <c r="F359" i="3" a="1"/>
  <c r="F359" i="3" s="1"/>
  <c r="H359" i="3" a="1"/>
  <c r="H359" i="3" s="1"/>
  <c r="K359" i="3" a="1"/>
  <c r="K359" i="3" s="1"/>
  <c r="M359" i="3" a="1"/>
  <c r="M359" i="3" s="1"/>
  <c r="B360" i="3" a="1"/>
  <c r="B360" i="3" s="1"/>
  <c r="D360" i="3" a="1"/>
  <c r="D360" i="3" s="1"/>
  <c r="F360" i="3" a="1"/>
  <c r="F360" i="3" s="1"/>
  <c r="H360" i="3" a="1"/>
  <c r="H360" i="3" s="1"/>
  <c r="K360" i="3" a="1"/>
  <c r="K360" i="3" s="1"/>
  <c r="M360" i="3" a="1"/>
  <c r="M360" i="3" s="1"/>
  <c r="B361" i="3" a="1"/>
  <c r="B361" i="3" s="1"/>
  <c r="D361" i="3" a="1"/>
  <c r="D361" i="3" s="1"/>
  <c r="E361" i="3" a="1"/>
  <c r="E361" i="3" s="1"/>
  <c r="G361" i="3" a="1"/>
  <c r="G361" i="3" s="1"/>
  <c r="K361" i="3" a="1"/>
  <c r="K361" i="3" s="1"/>
  <c r="M361" i="3" a="1"/>
  <c r="M361" i="3" s="1"/>
  <c r="B362" i="3" a="1"/>
  <c r="B362" i="3" s="1"/>
  <c r="C362" i="3" a="1"/>
  <c r="C362" i="3" s="1"/>
  <c r="E362" i="3" a="1"/>
  <c r="E362" i="3" s="1"/>
  <c r="G362" i="3" a="1"/>
  <c r="G362" i="3" s="1"/>
  <c r="A363" i="3" a="1"/>
  <c r="A363" i="3" s="1"/>
  <c r="C363" i="3" a="1"/>
  <c r="C363" i="3" s="1"/>
  <c r="E363" i="3" a="1"/>
  <c r="E363" i="3" s="1"/>
  <c r="G363" i="3" a="1"/>
  <c r="G363" i="3" s="1"/>
  <c r="I363" i="3" a="1"/>
  <c r="I363" i="3" s="1"/>
  <c r="K363" i="3" a="1"/>
  <c r="K363" i="3" s="1"/>
  <c r="M363" i="3" a="1"/>
  <c r="M363" i="3" s="1"/>
  <c r="B364" i="3" a="1"/>
  <c r="B364" i="3" s="1"/>
  <c r="D364" i="3" a="1"/>
  <c r="D364" i="3" s="1"/>
  <c r="F364" i="3" a="1"/>
  <c r="F364" i="3" s="1"/>
  <c r="H364" i="3" a="1"/>
  <c r="H364" i="3" s="1"/>
  <c r="K364" i="3" a="1"/>
  <c r="K364" i="3" s="1"/>
  <c r="M364" i="3" a="1"/>
  <c r="M364" i="3" s="1"/>
  <c r="B365" i="3" a="1"/>
  <c r="B365" i="3" s="1"/>
  <c r="D365" i="3" a="1"/>
  <c r="D365" i="3" s="1"/>
  <c r="F365" i="3" a="1"/>
  <c r="F365" i="3" s="1"/>
  <c r="H365" i="3" a="1"/>
  <c r="H365" i="3" s="1"/>
  <c r="K365" i="3" a="1"/>
  <c r="K365" i="3" s="1"/>
  <c r="M365" i="3" a="1"/>
  <c r="M365" i="3" s="1"/>
  <c r="B366" i="3" a="1"/>
  <c r="B366" i="3" s="1"/>
  <c r="D366" i="3" a="1"/>
  <c r="D366" i="3" s="1"/>
  <c r="F366" i="3" a="1"/>
  <c r="F366" i="3" s="1"/>
  <c r="H366" i="3" a="1"/>
  <c r="H366" i="3" s="1"/>
  <c r="K366" i="3" a="1"/>
  <c r="K366" i="3" s="1"/>
  <c r="M366" i="3" a="1"/>
  <c r="M366" i="3" s="1"/>
  <c r="B367" i="3" a="1"/>
  <c r="B367" i="3" s="1"/>
  <c r="D367" i="3" a="1"/>
  <c r="D367" i="3" s="1"/>
  <c r="F367" i="3" a="1"/>
  <c r="F367" i="3" s="1"/>
  <c r="H367" i="3" a="1"/>
  <c r="H367" i="3" s="1"/>
  <c r="I367" i="3" a="1"/>
  <c r="I367" i="3" s="1"/>
  <c r="L367" i="3" a="1"/>
  <c r="L367" i="3" s="1"/>
  <c r="B368" i="3" a="1"/>
  <c r="B368" i="3" s="1"/>
  <c r="C368" i="3" a="1"/>
  <c r="C368" i="3" s="1"/>
  <c r="E368" i="3" a="1"/>
  <c r="E368" i="3" s="1"/>
  <c r="G368" i="3" a="1"/>
  <c r="G368" i="3" s="1"/>
  <c r="I368" i="3" a="1"/>
  <c r="I368" i="3" s="1"/>
  <c r="L368" i="3" a="1"/>
  <c r="L368" i="3" s="1"/>
  <c r="A369" i="3" a="1"/>
  <c r="A369" i="3" s="1"/>
  <c r="C369" i="3" a="1"/>
  <c r="C369" i="3" s="1"/>
  <c r="E369" i="3" a="1"/>
  <c r="E369" i="3" s="1"/>
  <c r="H369" i="3" a="1"/>
  <c r="H369" i="3" s="1"/>
  <c r="L369" i="3" a="1"/>
  <c r="L369" i="3" s="1"/>
  <c r="C370" i="3" a="1"/>
  <c r="C370" i="3" s="1"/>
  <c r="E76" i="3" a="1"/>
  <c r="E76" i="3" s="1"/>
  <c r="F76" i="3" a="1"/>
  <c r="F76" i="3" s="1"/>
  <c r="G76" i="3" a="1"/>
  <c r="G76" i="3" s="1"/>
  <c r="H76" i="3" a="1"/>
  <c r="H76" i="3" s="1"/>
  <c r="K76" i="3" a="1"/>
  <c r="K76" i="3" s="1"/>
  <c r="M76" i="3" a="1"/>
  <c r="M76" i="3" s="1"/>
  <c r="B77" i="3" a="1"/>
  <c r="B77" i="3" s="1"/>
  <c r="D77" i="3" a="1"/>
  <c r="D77" i="3" s="1"/>
  <c r="F77" i="3" a="1"/>
  <c r="F77" i="3" s="1"/>
  <c r="G77" i="3" a="1"/>
  <c r="G77" i="3" s="1"/>
  <c r="K77" i="3" a="1"/>
  <c r="K77" i="3" s="1"/>
  <c r="M77" i="3" a="1"/>
  <c r="M77" i="3" s="1"/>
  <c r="C78" i="3" a="1"/>
  <c r="C78" i="3" s="1"/>
  <c r="E78" i="3" a="1"/>
  <c r="E78" i="3" s="1"/>
  <c r="G78" i="3" a="1"/>
  <c r="G78" i="3" s="1"/>
  <c r="I78" i="3" a="1"/>
  <c r="I78" i="3" s="1"/>
  <c r="L78" i="3" a="1"/>
  <c r="L78" i="3" s="1"/>
  <c r="A79" i="3" a="1"/>
  <c r="A79" i="3" s="1"/>
  <c r="C79" i="3" a="1"/>
  <c r="C79" i="3" s="1"/>
  <c r="F79" i="3" a="1"/>
  <c r="F79" i="3" s="1"/>
  <c r="H79" i="3" a="1"/>
  <c r="H79" i="3" s="1"/>
  <c r="K79" i="3" a="1"/>
  <c r="K79" i="3" s="1"/>
  <c r="M79" i="3" a="1"/>
  <c r="M79" i="3" s="1"/>
  <c r="B80" i="3" a="1"/>
  <c r="B80" i="3" s="1"/>
  <c r="D80" i="3" a="1"/>
  <c r="D80" i="3" s="1"/>
  <c r="F80" i="3" a="1"/>
  <c r="F80" i="3" s="1"/>
  <c r="H80" i="3" a="1"/>
  <c r="H80" i="3" s="1"/>
  <c r="L80" i="3"/>
  <c r="A81" i="3" a="1"/>
  <c r="A81" i="3" s="1"/>
  <c r="B81" i="3" a="1"/>
  <c r="B81" i="3" s="1"/>
  <c r="D81" i="3" a="1"/>
  <c r="D81" i="3" s="1"/>
  <c r="F81" i="3" a="1"/>
  <c r="F81" i="3" s="1"/>
  <c r="H81" i="3" a="1"/>
  <c r="H81" i="3" s="1"/>
  <c r="K81" i="3" a="1"/>
  <c r="K81" i="3" s="1"/>
  <c r="M81" i="3" a="1"/>
  <c r="M81" i="3" s="1"/>
  <c r="B82" i="3" a="1"/>
  <c r="B82" i="3" s="1"/>
  <c r="D82" i="3" a="1"/>
  <c r="D82" i="3" s="1"/>
  <c r="F82" i="3" a="1"/>
  <c r="F82" i="3" s="1"/>
  <c r="H82" i="3" a="1"/>
  <c r="H82" i="3" s="1"/>
  <c r="K82" i="3" a="1"/>
  <c r="K82" i="3" s="1"/>
  <c r="M82" i="3" a="1"/>
  <c r="M82" i="3" s="1"/>
  <c r="B83" i="3" a="1"/>
  <c r="B83" i="3" s="1"/>
  <c r="D83" i="3" a="1"/>
  <c r="D83" i="3" s="1"/>
  <c r="F83" i="3" a="1"/>
  <c r="F83" i="3" s="1"/>
  <c r="H83" i="3" a="1"/>
  <c r="H83" i="3" s="1"/>
  <c r="L83" i="3"/>
  <c r="A84" i="3" a="1"/>
  <c r="A84" i="3" s="1"/>
  <c r="B84" i="3" a="1"/>
  <c r="B84" i="3" s="1"/>
  <c r="D84" i="3" a="1"/>
  <c r="D84" i="3" s="1"/>
  <c r="G84" i="3" a="1"/>
  <c r="G84" i="3" s="1"/>
  <c r="H84" i="3" a="1"/>
  <c r="H84" i="3" s="1"/>
  <c r="K84" i="3" a="1"/>
  <c r="K84" i="3" s="1"/>
  <c r="M84" i="3" a="1"/>
  <c r="M84" i="3" s="1"/>
  <c r="B85" i="3" a="1"/>
  <c r="B85" i="3" s="1"/>
  <c r="D85" i="3" a="1"/>
  <c r="D85" i="3" s="1"/>
  <c r="F85" i="3" a="1"/>
  <c r="F85" i="3" s="1"/>
  <c r="H85" i="3" a="1"/>
  <c r="H85" i="3" s="1"/>
  <c r="K85" i="3" a="1"/>
  <c r="K85" i="3" s="1"/>
  <c r="M85" i="3" a="1"/>
  <c r="M85" i="3" s="1"/>
  <c r="B86" i="3" a="1"/>
  <c r="B86" i="3" s="1"/>
  <c r="D86" i="3" a="1"/>
  <c r="D86" i="3" s="1"/>
  <c r="F86" i="3" a="1"/>
  <c r="F86" i="3" s="1"/>
  <c r="H86" i="3" a="1"/>
  <c r="H86" i="3" s="1"/>
  <c r="K86" i="3" a="1"/>
  <c r="K86" i="3" s="1"/>
  <c r="M86" i="3" a="1"/>
  <c r="M86" i="3" s="1"/>
  <c r="B87" i="3" a="1"/>
  <c r="B87" i="3" s="1"/>
  <c r="D87" i="3" a="1"/>
  <c r="D87" i="3" s="1"/>
  <c r="F87" i="3" a="1"/>
  <c r="F87" i="3" s="1"/>
  <c r="H87" i="3" a="1"/>
  <c r="H87" i="3" s="1"/>
  <c r="K87" i="3" a="1"/>
  <c r="K87" i="3" s="1"/>
  <c r="M87" i="3" a="1"/>
  <c r="M87" i="3" s="1"/>
  <c r="B88" i="3" a="1"/>
  <c r="B88" i="3" s="1"/>
  <c r="D88" i="3" a="1"/>
  <c r="D88" i="3" s="1"/>
  <c r="F88" i="3" a="1"/>
  <c r="F88" i="3" s="1"/>
  <c r="I88" i="3" a="1"/>
  <c r="I88" i="3" s="1"/>
  <c r="L88" i="3"/>
  <c r="A89" i="3" a="1"/>
  <c r="A89" i="3" s="1"/>
  <c r="C89" i="3" a="1"/>
  <c r="C89" i="3" s="1"/>
  <c r="E89" i="3" a="1"/>
  <c r="E89" i="3" s="1"/>
  <c r="G89" i="3" a="1"/>
  <c r="G89" i="3" s="1"/>
  <c r="I89" i="3" a="1"/>
  <c r="I89" i="3" s="1"/>
  <c r="L89" i="3"/>
  <c r="A90" i="3" a="1"/>
  <c r="A90" i="3" s="1"/>
  <c r="C90" i="3" a="1"/>
  <c r="C90" i="3" s="1"/>
  <c r="E90" i="3" a="1"/>
  <c r="E90" i="3" s="1"/>
  <c r="G90" i="3" a="1"/>
  <c r="G90" i="3" s="1"/>
  <c r="I90" i="3" a="1"/>
  <c r="I90" i="3" s="1"/>
  <c r="L90" i="3" a="1"/>
  <c r="L90" i="3" s="1"/>
  <c r="A91" i="3" a="1"/>
  <c r="A91" i="3" s="1"/>
  <c r="C91" i="3" a="1"/>
  <c r="C91" i="3" s="1"/>
  <c r="D91" i="3" a="1"/>
  <c r="D91" i="3" s="1"/>
  <c r="E91" i="3" a="1"/>
  <c r="E91" i="3" s="1"/>
  <c r="F91" i="3" a="1"/>
  <c r="F91" i="3" s="1"/>
  <c r="H91" i="3" a="1"/>
  <c r="H91" i="3" s="1"/>
  <c r="K91" i="3" a="1"/>
  <c r="K91" i="3" s="1"/>
  <c r="M91" i="3" a="1"/>
  <c r="M91" i="3" s="1"/>
  <c r="B92" i="3" a="1"/>
  <c r="B92" i="3" s="1"/>
  <c r="D92" i="3" a="1"/>
  <c r="D92" i="3" s="1"/>
  <c r="G92" i="3" a="1"/>
  <c r="G92" i="3" s="1"/>
  <c r="I92" i="3" a="1"/>
  <c r="I92" i="3" s="1"/>
  <c r="L92" i="3"/>
  <c r="A93" i="3" a="1"/>
  <c r="A93" i="3" s="1"/>
  <c r="C93" i="3" a="1"/>
  <c r="C93" i="3" s="1"/>
  <c r="E93" i="3" a="1"/>
  <c r="E93" i="3" s="1"/>
  <c r="G93" i="3" a="1"/>
  <c r="G93" i="3" s="1"/>
  <c r="I93" i="3" a="1"/>
  <c r="I93" i="3" s="1"/>
  <c r="L93" i="3" a="1"/>
  <c r="L93" i="3" s="1"/>
  <c r="A94" i="3" a="1"/>
  <c r="A94" i="3" s="1"/>
  <c r="C94" i="3" a="1"/>
  <c r="C94" i="3" s="1"/>
  <c r="D94" i="3" a="1"/>
  <c r="D94" i="3" s="1"/>
  <c r="F94" i="3" a="1"/>
  <c r="F94" i="3" s="1"/>
  <c r="H94" i="3" a="1"/>
  <c r="H94" i="3" s="1"/>
  <c r="L94" i="3"/>
  <c r="A95" i="3" a="1"/>
  <c r="A95" i="3" s="1"/>
  <c r="C95" i="3" a="1"/>
  <c r="C95" i="3" s="1"/>
  <c r="E95" i="3" a="1"/>
  <c r="E95" i="3" s="1"/>
  <c r="G95" i="3" a="1"/>
  <c r="G95" i="3" s="1"/>
  <c r="I95" i="3" a="1"/>
  <c r="I95" i="3" s="1"/>
  <c r="K95" i="3" a="1"/>
  <c r="K95" i="3" s="1"/>
  <c r="M95" i="3" a="1"/>
  <c r="M95" i="3" s="1"/>
  <c r="B96" i="3" a="1"/>
  <c r="B96" i="3" s="1"/>
  <c r="D96" i="3" a="1"/>
  <c r="D96" i="3" s="1"/>
  <c r="F96" i="3" a="1"/>
  <c r="F96" i="3" s="1"/>
  <c r="I96" i="3" a="1"/>
  <c r="I96" i="3" s="1"/>
  <c r="K96" i="3" a="1"/>
  <c r="K96" i="3" s="1"/>
  <c r="M96" i="3" a="1"/>
  <c r="M96" i="3" s="1"/>
  <c r="B97" i="3" a="1"/>
  <c r="B97" i="3" s="1"/>
  <c r="D97" i="3" a="1"/>
  <c r="D97" i="3" s="1"/>
  <c r="F97" i="3" a="1"/>
  <c r="F97" i="3" s="1"/>
  <c r="H97" i="3" a="1"/>
  <c r="H97" i="3" s="1"/>
  <c r="K97" i="3" a="1"/>
  <c r="K97" i="3" s="1"/>
  <c r="M97" i="3" a="1"/>
  <c r="M97" i="3" s="1"/>
  <c r="B98" i="3" a="1"/>
  <c r="B98" i="3" s="1"/>
  <c r="D98" i="3" a="1"/>
  <c r="D98" i="3" s="1"/>
  <c r="F98" i="3" a="1"/>
  <c r="F98" i="3" s="1"/>
  <c r="H98" i="3" a="1"/>
  <c r="H98" i="3" s="1"/>
  <c r="K98" i="3" a="1"/>
  <c r="K98" i="3" s="1"/>
  <c r="M98" i="3" a="1"/>
  <c r="M98" i="3" s="1"/>
  <c r="B99" i="3" a="1"/>
  <c r="B99" i="3" s="1"/>
  <c r="D99" i="3" a="1"/>
  <c r="D99" i="3" s="1"/>
  <c r="F99" i="3" a="1"/>
  <c r="F99" i="3" s="1"/>
  <c r="H99" i="3" a="1"/>
  <c r="H99" i="3" s="1"/>
  <c r="L99" i="3"/>
  <c r="M99" i="3" a="1"/>
  <c r="M99" i="3" s="1"/>
  <c r="B100" i="3" a="1"/>
  <c r="B100" i="3" s="1"/>
  <c r="D100" i="3" a="1"/>
  <c r="D100" i="3" s="1"/>
  <c r="F100" i="3" a="1"/>
  <c r="F100" i="3" s="1"/>
  <c r="H100" i="3" a="1"/>
  <c r="H100" i="3" s="1"/>
  <c r="K100" i="3" a="1"/>
  <c r="K100" i="3" s="1"/>
  <c r="M100" i="3" a="1"/>
  <c r="M100" i="3" s="1"/>
  <c r="B101" i="3" a="1"/>
  <c r="B101" i="3" s="1"/>
  <c r="D101" i="3" a="1"/>
  <c r="D101" i="3" s="1"/>
  <c r="F101" i="3" a="1"/>
  <c r="F101" i="3" s="1"/>
  <c r="H101" i="3" a="1"/>
  <c r="H101" i="3" s="1"/>
  <c r="K101" i="3" a="1"/>
  <c r="K101" i="3" s="1"/>
  <c r="M101" i="3" a="1"/>
  <c r="M101" i="3" s="1"/>
  <c r="B102" i="3" a="1"/>
  <c r="B102" i="3" s="1"/>
  <c r="D102" i="3" a="1"/>
  <c r="D102" i="3" s="1"/>
  <c r="F102" i="3" a="1"/>
  <c r="F102" i="3" s="1"/>
  <c r="H102" i="3" a="1"/>
  <c r="H102" i="3" s="1"/>
  <c r="K102" i="3" a="1"/>
  <c r="K102" i="3" s="1"/>
  <c r="M102" i="3" a="1"/>
  <c r="M102" i="3" s="1"/>
  <c r="B103" i="3" a="1"/>
  <c r="B103" i="3" s="1"/>
  <c r="D103" i="3" a="1"/>
  <c r="D103" i="3" s="1"/>
  <c r="F103" i="3" a="1"/>
  <c r="F103" i="3" s="1"/>
  <c r="H103" i="3" a="1"/>
  <c r="H103" i="3" s="1"/>
  <c r="K103" i="3" a="1"/>
  <c r="K103" i="3" s="1"/>
  <c r="A104" i="3" a="1"/>
  <c r="A104" i="3" s="1"/>
  <c r="C104" i="3" a="1"/>
  <c r="C104" i="3" s="1"/>
  <c r="E104" i="3" a="1"/>
  <c r="E104" i="3" s="1"/>
  <c r="G104" i="3" a="1"/>
  <c r="G104" i="3" s="1"/>
  <c r="I104" i="3" a="1"/>
  <c r="I104" i="3" s="1"/>
  <c r="L104" i="3"/>
  <c r="A105" i="3" a="1"/>
  <c r="A105" i="3" s="1"/>
  <c r="C105" i="3" a="1"/>
  <c r="C105" i="3" s="1"/>
  <c r="E105" i="3" a="1"/>
  <c r="E105" i="3" s="1"/>
  <c r="G105" i="3" a="1"/>
  <c r="G105" i="3" s="1"/>
  <c r="I105" i="3" a="1"/>
  <c r="I105" i="3" s="1"/>
  <c r="L105" i="3"/>
  <c r="A106" i="3" a="1"/>
  <c r="A106" i="3" s="1"/>
  <c r="B106" i="3" a="1"/>
  <c r="B106" i="3" s="1"/>
  <c r="C106" i="3" a="1"/>
  <c r="C106" i="3" s="1"/>
  <c r="D106" i="3" a="1"/>
  <c r="D106" i="3" s="1"/>
  <c r="F106" i="3" a="1"/>
  <c r="F106" i="3" s="1"/>
  <c r="H106" i="3" a="1"/>
  <c r="H106" i="3" s="1"/>
  <c r="K106" i="3" a="1"/>
  <c r="K106" i="3" s="1"/>
  <c r="A107" i="3" a="1"/>
  <c r="A107" i="3" s="1"/>
  <c r="C107" i="3" a="1"/>
  <c r="C107" i="3" s="1"/>
  <c r="E107" i="3" a="1"/>
  <c r="E107" i="3" s="1"/>
  <c r="G107" i="3" a="1"/>
  <c r="G107" i="3" s="1"/>
  <c r="I107" i="3" a="1"/>
  <c r="I107" i="3" s="1"/>
  <c r="L107" i="3" a="1"/>
  <c r="L107" i="3" s="1"/>
  <c r="A108" i="3" a="1"/>
  <c r="A108" i="3" s="1"/>
  <c r="C108" i="3" a="1"/>
  <c r="C108" i="3" s="1"/>
  <c r="E108" i="3" a="1"/>
  <c r="E108" i="3" s="1"/>
  <c r="G108" i="3" a="1"/>
  <c r="G108" i="3" s="1"/>
  <c r="I108" i="3" a="1"/>
  <c r="I108" i="3" s="1"/>
  <c r="L108" i="3" a="1"/>
  <c r="L108" i="3" s="1"/>
  <c r="A109" i="3" a="1"/>
  <c r="A109" i="3" s="1"/>
  <c r="C109" i="3" a="1"/>
  <c r="C109" i="3" s="1"/>
  <c r="E109" i="3" a="1"/>
  <c r="E109" i="3" s="1"/>
  <c r="G109" i="3" a="1"/>
  <c r="G109" i="3" s="1"/>
  <c r="I109" i="3" a="1"/>
  <c r="I109" i="3" s="1"/>
  <c r="L109" i="3"/>
  <c r="A110" i="3" a="1"/>
  <c r="A110" i="3" s="1"/>
  <c r="C110" i="3" a="1"/>
  <c r="C110" i="3" s="1"/>
  <c r="E110" i="3" a="1"/>
  <c r="E110" i="3" s="1"/>
  <c r="G110" i="3" a="1"/>
  <c r="G110" i="3" s="1"/>
  <c r="I110" i="3" a="1"/>
  <c r="I110" i="3" s="1"/>
  <c r="K110" i="3" a="1"/>
  <c r="K110" i="3" s="1"/>
  <c r="M110" i="3" a="1"/>
  <c r="M110" i="3" s="1"/>
  <c r="C111" i="3" a="1"/>
  <c r="C111" i="3" s="1"/>
  <c r="E111" i="3" a="1"/>
  <c r="E111" i="3" s="1"/>
  <c r="G111" i="3" a="1"/>
  <c r="G111" i="3" s="1"/>
  <c r="I111" i="3" a="1"/>
  <c r="I111" i="3" s="1"/>
  <c r="K111" i="3" a="1"/>
  <c r="K111" i="3" s="1"/>
  <c r="M111" i="3" a="1"/>
  <c r="M111" i="3" s="1"/>
  <c r="B112" i="3" a="1"/>
  <c r="B112" i="3" s="1"/>
  <c r="D112" i="3" a="1"/>
  <c r="D112" i="3" s="1"/>
  <c r="F112" i="3" a="1"/>
  <c r="F112" i="3" s="1"/>
  <c r="I112" i="3" a="1"/>
  <c r="I112" i="3" s="1"/>
  <c r="L112" i="3"/>
  <c r="A113" i="3" a="1"/>
  <c r="A113" i="3" s="1"/>
  <c r="C113" i="3" a="1"/>
  <c r="C113" i="3" s="1"/>
  <c r="E113" i="3" a="1"/>
  <c r="E113" i="3" s="1"/>
  <c r="G113" i="3" a="1"/>
  <c r="G113" i="3" s="1"/>
  <c r="I113" i="3" a="1"/>
  <c r="I113" i="3" s="1"/>
  <c r="K113" i="3" a="1"/>
  <c r="K113" i="3" s="1"/>
  <c r="M113" i="3" a="1"/>
  <c r="M113" i="3" s="1"/>
  <c r="B114" i="3" a="1"/>
  <c r="B114" i="3" s="1"/>
  <c r="D114" i="3" a="1"/>
  <c r="D114" i="3" s="1"/>
  <c r="G114" i="3" a="1"/>
  <c r="G114" i="3" s="1"/>
  <c r="I114" i="3" a="1"/>
  <c r="I114" i="3" s="1"/>
  <c r="L114" i="3"/>
  <c r="A115" i="3" a="1"/>
  <c r="A115" i="3" s="1"/>
  <c r="C115" i="3" a="1"/>
  <c r="C115" i="3" s="1"/>
  <c r="E115" i="3" a="1"/>
  <c r="E115" i="3" s="1"/>
  <c r="G115" i="3" a="1"/>
  <c r="G115" i="3" s="1"/>
  <c r="K115" i="3" a="1"/>
  <c r="K115" i="3" s="1"/>
  <c r="M115" i="3" a="1"/>
  <c r="M115" i="3" s="1"/>
  <c r="B116" i="3" a="1"/>
  <c r="B116" i="3" s="1"/>
  <c r="D116" i="3" a="1"/>
  <c r="D116" i="3" s="1"/>
  <c r="F116" i="3" a="1"/>
  <c r="F116" i="3" s="1"/>
  <c r="H116" i="3" a="1"/>
  <c r="H116" i="3" s="1"/>
  <c r="K116" i="3" a="1"/>
  <c r="K116" i="3" s="1"/>
  <c r="M116" i="3" a="1"/>
  <c r="M116" i="3" s="1"/>
  <c r="B117" i="3" a="1"/>
  <c r="B117" i="3" s="1"/>
  <c r="D117" i="3" a="1"/>
  <c r="D117" i="3" s="1"/>
  <c r="G117" i="3" a="1"/>
  <c r="G117" i="3" s="1"/>
  <c r="I117" i="3" a="1"/>
  <c r="I117" i="3" s="1"/>
  <c r="K117" i="3" a="1"/>
  <c r="K117" i="3" s="1"/>
  <c r="M117" i="3" a="1"/>
  <c r="M117" i="3" s="1"/>
  <c r="B118" i="3" a="1"/>
  <c r="B118" i="3" s="1"/>
  <c r="D118" i="3" a="1"/>
  <c r="D118" i="3" s="1"/>
  <c r="F118" i="3" a="1"/>
  <c r="F118" i="3" s="1"/>
  <c r="H118" i="3" a="1"/>
  <c r="H118" i="3" s="1"/>
  <c r="K118" i="3" a="1"/>
  <c r="K118" i="3" s="1"/>
  <c r="M118" i="3" a="1"/>
  <c r="M118" i="3" s="1"/>
  <c r="B119" i="3" a="1"/>
  <c r="B119" i="3" s="1"/>
  <c r="D119" i="3" a="1"/>
  <c r="D119" i="3" s="1"/>
  <c r="F119" i="3" a="1"/>
  <c r="F119" i="3" s="1"/>
  <c r="H119" i="3" a="1"/>
  <c r="H119" i="3" s="1"/>
  <c r="K119" i="3" a="1"/>
  <c r="K119" i="3" s="1"/>
  <c r="A120" i="3" a="1"/>
  <c r="A120" i="3" s="1"/>
  <c r="C120" i="3" a="1"/>
  <c r="C120" i="3" s="1"/>
  <c r="E120" i="3" a="1"/>
  <c r="E120" i="3" s="1"/>
  <c r="G120" i="3" a="1"/>
  <c r="G120" i="3" s="1"/>
  <c r="I120" i="3" a="1"/>
  <c r="I120" i="3" s="1"/>
  <c r="L120" i="3" a="1"/>
  <c r="L120" i="3" s="1"/>
  <c r="A121" i="3" a="1"/>
  <c r="A121" i="3" s="1"/>
  <c r="B121" i="3" a="1"/>
  <c r="B121" i="3" s="1"/>
  <c r="C121" i="3" a="1"/>
  <c r="C121" i="3" s="1"/>
  <c r="D121" i="3" a="1"/>
  <c r="D121" i="3" s="1"/>
  <c r="F121" i="3" a="1"/>
  <c r="F121" i="3" s="1"/>
  <c r="H121" i="3" a="1"/>
  <c r="H121" i="3" s="1"/>
  <c r="K121" i="3" a="1"/>
  <c r="K121" i="3" s="1"/>
  <c r="M121" i="3" a="1"/>
  <c r="M121" i="3" s="1"/>
  <c r="B122" i="3" a="1"/>
  <c r="B122" i="3" s="1"/>
  <c r="D122" i="3" a="1"/>
  <c r="D122" i="3" s="1"/>
  <c r="F122" i="3" a="1"/>
  <c r="F122" i="3" s="1"/>
  <c r="H122" i="3" a="1"/>
  <c r="H122" i="3" s="1"/>
  <c r="L122" i="3"/>
  <c r="M122" i="3" a="1"/>
  <c r="M122" i="3" s="1"/>
  <c r="B123" i="3" a="1"/>
  <c r="B123" i="3" s="1"/>
  <c r="D123" i="3" a="1"/>
  <c r="D123" i="3" s="1"/>
  <c r="F123" i="3" a="1"/>
  <c r="F123" i="3" s="1"/>
  <c r="H123" i="3" a="1"/>
  <c r="H123" i="3" s="1"/>
  <c r="L123" i="3"/>
  <c r="A124" i="3" a="1"/>
  <c r="A124" i="3" s="1"/>
  <c r="C124" i="3" a="1"/>
  <c r="C124" i="3" s="1"/>
  <c r="E124" i="3" a="1"/>
  <c r="E124" i="3" s="1"/>
  <c r="G124" i="3" a="1"/>
  <c r="G124" i="3" s="1"/>
  <c r="I124" i="3" a="1"/>
  <c r="I124" i="3" s="1"/>
  <c r="K124" i="3" a="1"/>
  <c r="K124" i="3" s="1"/>
  <c r="M124" i="3" a="1"/>
  <c r="M124" i="3" s="1"/>
  <c r="B125" i="3" a="1"/>
  <c r="B125" i="3" s="1"/>
  <c r="D125" i="3" a="1"/>
  <c r="D125" i="3" s="1"/>
  <c r="F125" i="3" a="1"/>
  <c r="F125" i="3" s="1"/>
  <c r="H125" i="3" a="1"/>
  <c r="H125" i="3" s="1"/>
  <c r="L125" i="3"/>
  <c r="A126" i="3" a="1"/>
  <c r="A126" i="3" s="1"/>
  <c r="C126" i="3" a="1"/>
  <c r="C126" i="3" s="1"/>
  <c r="E126" i="3" a="1"/>
  <c r="E126" i="3" s="1"/>
  <c r="G126" i="3" a="1"/>
  <c r="G126" i="3" s="1"/>
  <c r="I126" i="3" a="1"/>
  <c r="I126" i="3" s="1"/>
  <c r="L126" i="3" a="1"/>
  <c r="L126" i="3" s="1"/>
  <c r="M126" i="3" a="1"/>
  <c r="M126" i="3" s="1"/>
  <c r="B127" i="3" a="1"/>
  <c r="B127" i="3" s="1"/>
  <c r="E127" i="3" a="1"/>
  <c r="E127" i="3" s="1"/>
  <c r="G127" i="3" a="1"/>
  <c r="G127" i="3" s="1"/>
  <c r="I127" i="3" a="1"/>
  <c r="I127" i="3" s="1"/>
  <c r="K127" i="3" a="1"/>
  <c r="K127" i="3" s="1"/>
  <c r="M127" i="3" a="1"/>
  <c r="M127" i="3" s="1"/>
  <c r="B128" i="3" a="1"/>
  <c r="B128" i="3" s="1"/>
  <c r="D128" i="3" a="1"/>
  <c r="D128" i="3" s="1"/>
  <c r="F128" i="3" a="1"/>
  <c r="F128" i="3" s="1"/>
  <c r="H128" i="3" a="1"/>
  <c r="H128" i="3" s="1"/>
  <c r="K128" i="3" a="1"/>
  <c r="K128" i="3" s="1"/>
  <c r="M128" i="3" a="1"/>
  <c r="M128" i="3" s="1"/>
  <c r="B129" i="3" a="1"/>
  <c r="B129" i="3" s="1"/>
  <c r="D129" i="3" a="1"/>
  <c r="D129" i="3" s="1"/>
  <c r="F129" i="3" a="1"/>
  <c r="F129" i="3" s="1"/>
  <c r="H129" i="3" a="1"/>
  <c r="H129" i="3" s="1"/>
  <c r="K129" i="3" a="1"/>
  <c r="K129" i="3" s="1"/>
  <c r="M129" i="3" a="1"/>
  <c r="M129" i="3" s="1"/>
  <c r="B130" i="3" a="1"/>
  <c r="B130" i="3" s="1"/>
  <c r="D130" i="3" a="1"/>
  <c r="D130" i="3" s="1"/>
  <c r="F130" i="3" a="1"/>
  <c r="F130" i="3" s="1"/>
  <c r="H130" i="3" a="1"/>
  <c r="H130" i="3" s="1"/>
  <c r="K130" i="3" a="1"/>
  <c r="K130" i="3" s="1"/>
  <c r="M130" i="3" a="1"/>
  <c r="M130" i="3" s="1"/>
  <c r="B131" i="3" a="1"/>
  <c r="B131" i="3" s="1"/>
  <c r="D131" i="3" a="1"/>
  <c r="D131" i="3" s="1"/>
  <c r="F131" i="3" a="1"/>
  <c r="F131" i="3" s="1"/>
  <c r="H131" i="3" a="1"/>
  <c r="H131" i="3" s="1"/>
  <c r="K131" i="3" a="1"/>
  <c r="K131" i="3" s="1"/>
  <c r="M131" i="3" a="1"/>
  <c r="M131" i="3" s="1"/>
  <c r="B132" i="3" a="1"/>
  <c r="B132" i="3" s="1"/>
  <c r="D132" i="3" a="1"/>
  <c r="D132" i="3" s="1"/>
  <c r="F132" i="3" a="1"/>
  <c r="F132" i="3" s="1"/>
  <c r="I132" i="3" a="1"/>
  <c r="I132" i="3" s="1"/>
  <c r="L132" i="3" a="1"/>
  <c r="L132" i="3" s="1"/>
  <c r="A133" i="3" a="1"/>
  <c r="A133" i="3" s="1"/>
  <c r="C133" i="3" a="1"/>
  <c r="C133" i="3" s="1"/>
  <c r="E133" i="3" a="1"/>
  <c r="E133" i="3" s="1"/>
  <c r="G133" i="3" a="1"/>
  <c r="G133" i="3" s="1"/>
  <c r="I133" i="3" a="1"/>
  <c r="I133" i="3" s="1"/>
  <c r="L133" i="3"/>
  <c r="A134" i="3" a="1"/>
  <c r="A134" i="3" s="1"/>
  <c r="C134" i="3" a="1"/>
  <c r="C134" i="3" s="1"/>
  <c r="E134" i="3" a="1"/>
  <c r="E134" i="3" s="1"/>
  <c r="G134" i="3" a="1"/>
  <c r="G134" i="3" s="1"/>
  <c r="I134" i="3" a="1"/>
  <c r="I134" i="3" s="1"/>
  <c r="L134" i="3"/>
  <c r="A135" i="3" a="1"/>
  <c r="A135" i="3" s="1"/>
  <c r="C135" i="3" a="1"/>
  <c r="C135" i="3" s="1"/>
  <c r="E135" i="3" a="1"/>
  <c r="E135" i="3" s="1"/>
  <c r="G135" i="3" a="1"/>
  <c r="G135" i="3" s="1"/>
  <c r="I135" i="3" a="1"/>
  <c r="I135" i="3" s="1"/>
  <c r="L135" i="3"/>
  <c r="M135" i="3" a="1"/>
  <c r="M135" i="3" s="1"/>
  <c r="A136" i="3" a="1"/>
  <c r="A136" i="3" s="1"/>
  <c r="B136" i="3" a="1"/>
  <c r="B136" i="3" s="1"/>
  <c r="D136" i="3" a="1"/>
  <c r="D136" i="3" s="1"/>
  <c r="F136" i="3" a="1"/>
  <c r="F136" i="3" s="1"/>
  <c r="H136" i="3" a="1"/>
  <c r="H136" i="3" s="1"/>
  <c r="K136" i="3" a="1"/>
  <c r="K136" i="3" s="1"/>
  <c r="M136" i="3" a="1"/>
  <c r="M136" i="3" s="1"/>
  <c r="B137" i="3" a="1"/>
  <c r="B137" i="3" s="1"/>
  <c r="D137" i="3" a="1"/>
  <c r="D137" i="3" s="1"/>
  <c r="F137" i="3" a="1"/>
  <c r="F137" i="3" s="1"/>
  <c r="H137" i="3" a="1"/>
  <c r="H137" i="3" s="1"/>
  <c r="K137" i="3" a="1"/>
  <c r="K137" i="3" s="1"/>
  <c r="M137" i="3" a="1"/>
  <c r="M137" i="3" s="1"/>
  <c r="B138" i="3" a="1"/>
  <c r="B138" i="3" s="1"/>
  <c r="D138" i="3" a="1"/>
  <c r="D138" i="3" s="1"/>
  <c r="F138" i="3" a="1"/>
  <c r="F138" i="3" s="1"/>
  <c r="H138" i="3" a="1"/>
  <c r="H138" i="3" s="1"/>
  <c r="K138" i="3" a="1"/>
  <c r="K138" i="3" s="1"/>
  <c r="M138" i="3" a="1"/>
  <c r="M138" i="3" s="1"/>
  <c r="B139" i="3" a="1"/>
  <c r="B139" i="3" s="1"/>
  <c r="D139" i="3" a="1"/>
  <c r="D139" i="3" s="1"/>
  <c r="F139" i="3" a="1"/>
  <c r="F139" i="3" s="1"/>
  <c r="H139" i="3" a="1"/>
  <c r="H139" i="3" s="1"/>
  <c r="K139" i="3" a="1"/>
  <c r="K139" i="3" s="1"/>
  <c r="M139" i="3" a="1"/>
  <c r="M139" i="3" s="1"/>
  <c r="B140" i="3" a="1"/>
  <c r="B140" i="3" s="1"/>
  <c r="D140" i="3" a="1"/>
  <c r="D140" i="3" s="1"/>
  <c r="F140" i="3" a="1"/>
  <c r="F140" i="3" s="1"/>
  <c r="H140" i="3" a="1"/>
  <c r="H140" i="3" s="1"/>
  <c r="K140" i="3" a="1"/>
  <c r="K140" i="3" s="1"/>
  <c r="M140" i="3" a="1"/>
  <c r="M140" i="3" s="1"/>
  <c r="B141" i="3" a="1"/>
  <c r="B141" i="3" s="1"/>
  <c r="D141" i="3" a="1"/>
  <c r="D141" i="3" s="1"/>
  <c r="F141" i="3" a="1"/>
  <c r="F141" i="3" s="1"/>
  <c r="I141" i="3" a="1"/>
  <c r="I141" i="3" s="1"/>
  <c r="L141" i="3"/>
  <c r="A142" i="3" a="1"/>
  <c r="A142" i="3" s="1"/>
  <c r="C142" i="3" a="1"/>
  <c r="C142" i="3" s="1"/>
  <c r="E142" i="3" a="1"/>
  <c r="E142" i="3" s="1"/>
  <c r="G142" i="3" a="1"/>
  <c r="G142" i="3" s="1"/>
  <c r="I142" i="3" a="1"/>
  <c r="I142" i="3" s="1"/>
  <c r="L142" i="3"/>
  <c r="A143" i="3" a="1"/>
  <c r="A143" i="3" s="1"/>
  <c r="C143" i="3" a="1"/>
  <c r="C143" i="3" s="1"/>
  <c r="E143" i="3" a="1"/>
  <c r="E143" i="3" s="1"/>
  <c r="G143" i="3" a="1"/>
  <c r="G143" i="3" s="1"/>
  <c r="I143" i="3" a="1"/>
  <c r="I143" i="3" s="1"/>
  <c r="L143" i="3" a="1"/>
  <c r="L143" i="3" s="1"/>
  <c r="A144" i="3" a="1"/>
  <c r="A144" i="3" s="1"/>
  <c r="C144" i="3" a="1"/>
  <c r="C144" i="3" s="1"/>
  <c r="E144" i="3" a="1"/>
  <c r="E144" i="3" s="1"/>
  <c r="G144" i="3" a="1"/>
  <c r="G144" i="3" s="1"/>
  <c r="I144" i="3" a="1"/>
  <c r="I144" i="3" s="1"/>
  <c r="L144" i="3" a="1"/>
  <c r="L144" i="3" s="1"/>
  <c r="A145" i="3" a="1"/>
  <c r="A145" i="3" s="1"/>
  <c r="C145" i="3" a="1"/>
  <c r="C145" i="3" s="1"/>
  <c r="E145" i="3" a="1"/>
  <c r="E145" i="3" s="1"/>
  <c r="G145" i="3" a="1"/>
  <c r="G145" i="3" s="1"/>
  <c r="I145" i="3" a="1"/>
  <c r="I145" i="3" s="1"/>
  <c r="K145" i="3" a="1"/>
  <c r="K145" i="3" s="1"/>
  <c r="M145" i="3" a="1"/>
  <c r="M145" i="3" s="1"/>
  <c r="B146" i="3" a="1"/>
  <c r="B146" i="3" s="1"/>
  <c r="D146" i="3" a="1"/>
  <c r="D146" i="3" s="1"/>
  <c r="F146" i="3" a="1"/>
  <c r="F146" i="3" s="1"/>
  <c r="H146" i="3" a="1"/>
  <c r="H146" i="3" s="1"/>
  <c r="L146" i="3"/>
  <c r="A147" i="3" a="1"/>
  <c r="A147" i="3" s="1"/>
  <c r="C147" i="3" a="1"/>
  <c r="C147" i="3" s="1"/>
  <c r="E147" i="3" a="1"/>
  <c r="E147" i="3" s="1"/>
  <c r="G147" i="3" a="1"/>
  <c r="G147" i="3" s="1"/>
  <c r="H147" i="3" a="1"/>
  <c r="H147" i="3" s="1"/>
  <c r="K147" i="3" a="1"/>
  <c r="K147" i="3" s="1"/>
  <c r="M147" i="3" a="1"/>
  <c r="M147" i="3" s="1"/>
  <c r="B148" i="3" a="1"/>
  <c r="B148" i="3" s="1"/>
  <c r="D148" i="3" a="1"/>
  <c r="D148" i="3" s="1"/>
  <c r="F148" i="3" a="1"/>
  <c r="F148" i="3" s="1"/>
  <c r="I148" i="3" a="1"/>
  <c r="I148" i="3" s="1"/>
  <c r="K148" i="3" a="1"/>
  <c r="K148" i="3" s="1"/>
  <c r="M148" i="3" a="1"/>
  <c r="M148" i="3" s="1"/>
  <c r="B149" i="3" a="1"/>
  <c r="B149" i="3" s="1"/>
  <c r="D149" i="3" a="1"/>
  <c r="D149" i="3" s="1"/>
  <c r="F149" i="3" a="1"/>
  <c r="F149" i="3" s="1"/>
  <c r="G149" i="3" a="1"/>
  <c r="G149" i="3" s="1"/>
  <c r="H149" i="3" a="1"/>
  <c r="H149" i="3" s="1"/>
  <c r="I149" i="3" a="1"/>
  <c r="I149" i="3" s="1"/>
  <c r="K149" i="3" a="1"/>
  <c r="K149" i="3" s="1"/>
  <c r="M149" i="3" a="1"/>
  <c r="M149" i="3" s="1"/>
  <c r="C150" i="3" a="1"/>
  <c r="C150" i="3" s="1"/>
  <c r="E150" i="3" a="1"/>
  <c r="E150" i="3" s="1"/>
  <c r="G150" i="3" a="1"/>
  <c r="G150" i="3" s="1"/>
  <c r="I150" i="3" a="1"/>
  <c r="I150" i="3" s="1"/>
  <c r="L150" i="3"/>
  <c r="M150" i="3" a="1"/>
  <c r="M150" i="3" s="1"/>
  <c r="A151" i="3" a="1"/>
  <c r="A151" i="3" s="1"/>
  <c r="B151" i="3" a="1"/>
  <c r="B151" i="3" s="1"/>
  <c r="C151" i="3" a="1"/>
  <c r="C151" i="3" s="1"/>
  <c r="D151" i="3" a="1"/>
  <c r="D151" i="3" s="1"/>
  <c r="E151" i="3" a="1"/>
  <c r="E151" i="3" s="1"/>
  <c r="F151" i="3" a="1"/>
  <c r="F151" i="3" s="1"/>
  <c r="G151" i="3" a="1"/>
  <c r="G151" i="3" s="1"/>
  <c r="H151" i="3" a="1"/>
  <c r="H151" i="3" s="1"/>
  <c r="I151" i="3" a="1"/>
  <c r="I151" i="3" s="1"/>
  <c r="K151" i="3" a="1"/>
  <c r="K151" i="3" s="1"/>
  <c r="L151" i="3" a="1"/>
  <c r="L151" i="3" s="1"/>
  <c r="M151" i="3" a="1"/>
  <c r="M151" i="3" s="1"/>
  <c r="A152" i="3" a="1"/>
  <c r="A152" i="3" s="1"/>
  <c r="B152" i="3" a="1"/>
  <c r="B152" i="3" s="1"/>
  <c r="C152" i="3" a="1"/>
  <c r="C152" i="3" s="1"/>
  <c r="D152" i="3" a="1"/>
  <c r="D152" i="3" s="1"/>
  <c r="E152" i="3" a="1"/>
  <c r="E152" i="3" s="1"/>
  <c r="F152" i="3" a="1"/>
  <c r="F152" i="3" s="1"/>
  <c r="G152" i="3" a="1"/>
  <c r="G152" i="3" s="1"/>
  <c r="H152" i="3" a="1"/>
  <c r="H152" i="3" s="1"/>
  <c r="I152" i="3" a="1"/>
  <c r="I152" i="3" s="1"/>
  <c r="K152" i="3" a="1"/>
  <c r="K152" i="3" s="1"/>
  <c r="L152" i="3" a="1"/>
  <c r="L152" i="3" s="1"/>
  <c r="M152" i="3" a="1"/>
  <c r="M152" i="3" s="1"/>
  <c r="A153" i="3" a="1"/>
  <c r="A153" i="3" s="1"/>
  <c r="B153" i="3" a="1"/>
  <c r="B153" i="3" s="1"/>
  <c r="C153" i="3" a="1"/>
  <c r="C153" i="3" s="1"/>
  <c r="D153" i="3" a="1"/>
  <c r="D153" i="3" s="1"/>
  <c r="E153" i="3" a="1"/>
  <c r="E153" i="3" s="1"/>
  <c r="F153" i="3" a="1"/>
  <c r="F153" i="3" s="1"/>
  <c r="G153" i="3" a="1"/>
  <c r="G153" i="3" s="1"/>
  <c r="H153" i="3" a="1"/>
  <c r="H153" i="3" s="1"/>
  <c r="I153" i="3" a="1"/>
  <c r="I153" i="3" s="1"/>
  <c r="K153" i="3" a="1"/>
  <c r="K153" i="3" s="1"/>
  <c r="L153" i="3"/>
  <c r="M153" i="3" a="1"/>
  <c r="M153" i="3" s="1"/>
  <c r="A154" i="3" a="1"/>
  <c r="A154" i="3" s="1"/>
  <c r="B154" i="3" a="1"/>
  <c r="B154" i="3" s="1"/>
  <c r="C154" i="3" a="1"/>
  <c r="C154" i="3" s="1"/>
  <c r="D154" i="3" a="1"/>
  <c r="D154" i="3" s="1"/>
  <c r="E154" i="3" a="1"/>
  <c r="E154" i="3" s="1"/>
  <c r="F154" i="3" a="1"/>
  <c r="F154" i="3" s="1"/>
  <c r="G154" i="3" a="1"/>
  <c r="G154" i="3" s="1"/>
  <c r="H154" i="3" a="1"/>
  <c r="H154" i="3" s="1"/>
  <c r="I154" i="3" a="1"/>
  <c r="I154" i="3" s="1"/>
  <c r="K154" i="3" a="1"/>
  <c r="K154" i="3" s="1"/>
  <c r="L154" i="3"/>
  <c r="M154" i="3" a="1"/>
  <c r="M154" i="3" s="1"/>
  <c r="A155" i="3" a="1"/>
  <c r="A155" i="3" s="1"/>
  <c r="B155" i="3" a="1"/>
  <c r="B155" i="3" s="1"/>
  <c r="C155" i="3" a="1"/>
  <c r="C155" i="3" s="1"/>
  <c r="D155" i="3" a="1"/>
  <c r="D155" i="3" s="1"/>
  <c r="E155" i="3" a="1"/>
  <c r="E155" i="3" s="1"/>
  <c r="F155" i="3" a="1"/>
  <c r="F155" i="3" s="1"/>
  <c r="G155" i="3" a="1"/>
  <c r="G155" i="3" s="1"/>
  <c r="H155" i="3" a="1"/>
  <c r="H155" i="3" s="1"/>
  <c r="I155" i="3" a="1"/>
  <c r="I155" i="3" s="1"/>
  <c r="K155" i="3" a="1"/>
  <c r="K155" i="3" s="1"/>
  <c r="L155" i="3" a="1"/>
  <c r="L155" i="3" s="1"/>
  <c r="M155" i="3" a="1"/>
  <c r="M155" i="3" s="1"/>
  <c r="A156" i="3" a="1"/>
  <c r="A156" i="3" s="1"/>
  <c r="B156" i="3" a="1"/>
  <c r="B156" i="3" s="1"/>
  <c r="C156" i="3" a="1"/>
  <c r="C156" i="3" s="1"/>
  <c r="D156" i="3" a="1"/>
  <c r="D156" i="3" s="1"/>
  <c r="E156" i="3" a="1"/>
  <c r="E156" i="3" s="1"/>
  <c r="F156" i="3" a="1"/>
  <c r="F156" i="3" s="1"/>
  <c r="G156" i="3" a="1"/>
  <c r="G156" i="3" s="1"/>
  <c r="H156" i="3" a="1"/>
  <c r="H156" i="3" s="1"/>
  <c r="I156" i="3" a="1"/>
  <c r="I156" i="3" s="1"/>
  <c r="K156" i="3" a="1"/>
  <c r="K156" i="3" s="1"/>
  <c r="L156" i="3" a="1"/>
  <c r="L156" i="3" s="1"/>
  <c r="M156" i="3" a="1"/>
  <c r="M156" i="3" s="1"/>
  <c r="A157" i="3" a="1"/>
  <c r="A157" i="3" s="1"/>
  <c r="B157" i="3" a="1"/>
  <c r="B157" i="3" s="1"/>
  <c r="C157" i="3" a="1"/>
  <c r="C157" i="3" s="1"/>
  <c r="D157" i="3" a="1"/>
  <c r="D157" i="3" s="1"/>
  <c r="E157" i="3" a="1"/>
  <c r="E157" i="3" s="1"/>
  <c r="G157" i="3" a="1"/>
  <c r="G157" i="3" s="1"/>
  <c r="I157" i="3" a="1"/>
  <c r="I157" i="3" s="1"/>
  <c r="L157" i="3" a="1"/>
  <c r="L157" i="3" s="1"/>
  <c r="A158" i="3" a="1"/>
  <c r="A158" i="3" s="1"/>
  <c r="D158" i="3" a="1"/>
  <c r="D158" i="3" s="1"/>
  <c r="F158" i="3" a="1"/>
  <c r="F158" i="3" s="1"/>
  <c r="H158" i="3" a="1"/>
  <c r="H158" i="3" s="1"/>
  <c r="K158" i="3" a="1"/>
  <c r="K158" i="3" s="1"/>
  <c r="M158" i="3" a="1"/>
  <c r="M158" i="3" s="1"/>
  <c r="B159" i="3" a="1"/>
  <c r="B159" i="3" s="1"/>
  <c r="D159" i="3" a="1"/>
  <c r="D159" i="3" s="1"/>
  <c r="F159" i="3" a="1"/>
  <c r="F159" i="3" s="1"/>
  <c r="H159" i="3" a="1"/>
  <c r="H159" i="3" s="1"/>
  <c r="I159" i="3" a="1"/>
  <c r="I159" i="3" s="1"/>
  <c r="L159" i="3" a="1"/>
  <c r="L159" i="3" s="1"/>
  <c r="B160" i="3" a="1"/>
  <c r="B160" i="3" s="1"/>
  <c r="D160" i="3" a="1"/>
  <c r="D160" i="3" s="1"/>
  <c r="F160" i="3" a="1"/>
  <c r="F160" i="3" s="1"/>
  <c r="H160" i="3" a="1"/>
  <c r="H160" i="3" s="1"/>
  <c r="K160" i="3" a="1"/>
  <c r="K160" i="3" s="1"/>
  <c r="M160" i="3" a="1"/>
  <c r="M160" i="3" s="1"/>
  <c r="A161" i="3" a="1"/>
  <c r="A161" i="3" s="1"/>
  <c r="C161" i="3" a="1"/>
  <c r="C161" i="3" s="1"/>
  <c r="E161" i="3" a="1"/>
  <c r="E161" i="3" s="1"/>
  <c r="G161" i="3" a="1"/>
  <c r="G161" i="3" s="1"/>
  <c r="K161" i="3" a="1"/>
  <c r="K161" i="3" s="1"/>
  <c r="L161" i="3" a="1"/>
  <c r="L161" i="3" s="1"/>
  <c r="A162" i="3" a="1"/>
  <c r="A162" i="3" s="1"/>
  <c r="C162" i="3" a="1"/>
  <c r="C162" i="3" s="1"/>
  <c r="E162" i="3" a="1"/>
  <c r="E162" i="3" s="1"/>
  <c r="G162" i="3" a="1"/>
  <c r="G162" i="3" s="1"/>
  <c r="I162" i="3" a="1"/>
  <c r="I162" i="3" s="1"/>
  <c r="L162" i="3" a="1"/>
  <c r="L162" i="3" s="1"/>
  <c r="A163" i="3" a="1"/>
  <c r="A163" i="3" s="1"/>
  <c r="C163" i="3" a="1"/>
  <c r="C163" i="3" s="1"/>
  <c r="F163" i="3" a="1"/>
  <c r="F163" i="3" s="1"/>
  <c r="H163" i="3" a="1"/>
  <c r="H163" i="3" s="1"/>
  <c r="K163" i="3" a="1"/>
  <c r="K163" i="3" s="1"/>
  <c r="M163" i="3" a="1"/>
  <c r="M163" i="3" s="1"/>
  <c r="B164" i="3" a="1"/>
  <c r="B164" i="3" s="1"/>
  <c r="C164" i="3" a="1"/>
  <c r="C164" i="3" s="1"/>
  <c r="E164" i="3" a="1"/>
  <c r="E164" i="3" s="1"/>
  <c r="G164" i="3" a="1"/>
  <c r="G164" i="3" s="1"/>
  <c r="I164" i="3" a="1"/>
  <c r="I164" i="3" s="1"/>
  <c r="L164" i="3" a="1"/>
  <c r="L164" i="3" s="1"/>
  <c r="A165" i="3" a="1"/>
  <c r="A165" i="3" s="1"/>
  <c r="C165" i="3" a="1"/>
  <c r="C165" i="3" s="1"/>
  <c r="E165" i="3" a="1"/>
  <c r="E165" i="3" s="1"/>
  <c r="G165" i="3" a="1"/>
  <c r="G165" i="3" s="1"/>
  <c r="K165" i="3" a="1"/>
  <c r="K165" i="3" s="1"/>
  <c r="M165" i="3" a="1"/>
  <c r="M165" i="3" s="1"/>
  <c r="A166" i="3" a="1"/>
  <c r="A166" i="3" s="1"/>
  <c r="D166" i="3" a="1"/>
  <c r="D166" i="3" s="1"/>
  <c r="F166" i="3" a="1"/>
  <c r="F166" i="3" s="1"/>
  <c r="H166" i="3" a="1"/>
  <c r="H166" i="3" s="1"/>
  <c r="I166" i="3" a="1"/>
  <c r="I166" i="3" s="1"/>
  <c r="L166" i="3" a="1"/>
  <c r="L166" i="3" s="1"/>
  <c r="A167" i="3" a="1"/>
  <c r="A167" i="3" s="1"/>
  <c r="C167" i="3" a="1"/>
  <c r="C167" i="3" s="1"/>
  <c r="F167" i="3" a="1"/>
  <c r="F167" i="3" s="1"/>
  <c r="H167" i="3" a="1"/>
  <c r="H167" i="3" s="1"/>
  <c r="K167" i="3" a="1"/>
  <c r="K167" i="3" s="1"/>
  <c r="M167" i="3" a="1"/>
  <c r="M167" i="3" s="1"/>
  <c r="B168" i="3" a="1"/>
  <c r="B168" i="3" s="1"/>
  <c r="D168" i="3" a="1"/>
  <c r="D168" i="3" s="1"/>
  <c r="F168" i="3" a="1"/>
  <c r="F168" i="3" s="1"/>
  <c r="H168" i="3" a="1"/>
  <c r="H168" i="3" s="1"/>
  <c r="K168" i="3" a="1"/>
  <c r="K168" i="3" s="1"/>
  <c r="M168" i="3" a="1"/>
  <c r="M168" i="3" s="1"/>
  <c r="B169" i="3" a="1"/>
  <c r="B169" i="3" s="1"/>
  <c r="D169" i="3" a="1"/>
  <c r="D169" i="3" s="1"/>
  <c r="F169" i="3" a="1"/>
  <c r="F169" i="3" s="1"/>
  <c r="H169" i="3" a="1"/>
  <c r="H169" i="3" s="1"/>
  <c r="K169" i="3" a="1"/>
  <c r="K169" i="3" s="1"/>
  <c r="M169" i="3" a="1"/>
  <c r="M169" i="3" s="1"/>
  <c r="B170" i="3" a="1"/>
  <c r="B170" i="3" s="1"/>
  <c r="D170" i="3" a="1"/>
  <c r="D170" i="3" s="1"/>
  <c r="G170" i="3" a="1"/>
  <c r="G170" i="3" s="1"/>
  <c r="I170" i="3" a="1"/>
  <c r="I170" i="3" s="1"/>
  <c r="L170" i="3" a="1"/>
  <c r="L170" i="3" s="1"/>
  <c r="A171" i="3" a="1"/>
  <c r="A171" i="3" s="1"/>
  <c r="C171" i="3" a="1"/>
  <c r="C171" i="3" s="1"/>
  <c r="E171" i="3" a="1"/>
  <c r="E171" i="3" s="1"/>
  <c r="G171" i="3" a="1"/>
  <c r="G171" i="3" s="1"/>
  <c r="I171" i="3" a="1"/>
  <c r="I171" i="3" s="1"/>
  <c r="L171" i="3" a="1"/>
  <c r="L171" i="3" s="1"/>
  <c r="B172" i="3" a="1"/>
  <c r="B172" i="3" s="1"/>
  <c r="D172" i="3" a="1"/>
  <c r="D172" i="3" s="1"/>
  <c r="G172" i="3" a="1"/>
  <c r="G172" i="3" s="1"/>
  <c r="I172" i="3" a="1"/>
  <c r="I172" i="3" s="1"/>
  <c r="L172" i="3" a="1"/>
  <c r="L172" i="3" s="1"/>
  <c r="A173" i="3" a="1"/>
  <c r="A173" i="3" s="1"/>
  <c r="C173" i="3" a="1"/>
  <c r="C173" i="3" s="1"/>
  <c r="E173" i="3" a="1"/>
  <c r="E173" i="3" s="1"/>
  <c r="G173" i="3" a="1"/>
  <c r="G173" i="3" s="1"/>
  <c r="I173" i="3" a="1"/>
  <c r="I173" i="3" s="1"/>
  <c r="L173" i="3" a="1"/>
  <c r="L173" i="3" s="1"/>
  <c r="A174" i="3" a="1"/>
  <c r="A174" i="3" s="1"/>
  <c r="C174" i="3" a="1"/>
  <c r="C174" i="3" s="1"/>
  <c r="E174" i="3" a="1"/>
  <c r="E174" i="3" s="1"/>
  <c r="H174" i="3" a="1"/>
  <c r="H174" i="3" s="1"/>
  <c r="K174" i="3" a="1"/>
  <c r="K174" i="3" s="1"/>
  <c r="M174" i="3" a="1"/>
  <c r="M174" i="3" s="1"/>
  <c r="B175" i="3" a="1"/>
  <c r="B175" i="3" s="1"/>
  <c r="D175" i="3" a="1"/>
  <c r="D175" i="3" s="1"/>
  <c r="F175" i="3" a="1"/>
  <c r="F175" i="3" s="1"/>
  <c r="H175" i="3" a="1"/>
  <c r="H175" i="3" s="1"/>
  <c r="K175" i="3" a="1"/>
  <c r="K175" i="3" s="1"/>
  <c r="M175" i="3" a="1"/>
  <c r="M175" i="3" s="1"/>
  <c r="B176" i="3" a="1"/>
  <c r="B176" i="3" s="1"/>
  <c r="D176" i="3" a="1"/>
  <c r="D176" i="3" s="1"/>
  <c r="F176" i="3" a="1"/>
  <c r="F176" i="3" s="1"/>
  <c r="H176" i="3" a="1"/>
  <c r="H176" i="3" s="1"/>
  <c r="K176" i="3" a="1"/>
  <c r="K176" i="3" s="1"/>
  <c r="M176" i="3" a="1"/>
  <c r="M176" i="3" s="1"/>
  <c r="B177" i="3" a="1"/>
  <c r="B177" i="3" s="1"/>
  <c r="D177" i="3" a="1"/>
  <c r="D177" i="3" s="1"/>
  <c r="F177" i="3" a="1"/>
  <c r="F177" i="3" s="1"/>
  <c r="H177" i="3" a="1"/>
  <c r="H177" i="3" s="1"/>
  <c r="K177" i="3" a="1"/>
  <c r="K177" i="3" s="1"/>
  <c r="M177" i="3" a="1"/>
  <c r="M177" i="3" s="1"/>
  <c r="C178" i="3" a="1"/>
  <c r="C178" i="3" s="1"/>
  <c r="E178" i="3" a="1"/>
  <c r="E178" i="3" s="1"/>
  <c r="G178" i="3" a="1"/>
  <c r="G178" i="3" s="1"/>
  <c r="I178" i="3" a="1"/>
  <c r="I178" i="3" s="1"/>
  <c r="L178" i="3" a="1"/>
  <c r="L178" i="3" s="1"/>
  <c r="A179" i="3" a="1"/>
  <c r="A179" i="3" s="1"/>
  <c r="C179" i="3" a="1"/>
  <c r="C179" i="3" s="1"/>
  <c r="E179" i="3" a="1"/>
  <c r="E179" i="3" s="1"/>
  <c r="G179" i="3" a="1"/>
  <c r="G179" i="3" s="1"/>
  <c r="I179" i="3" a="1"/>
  <c r="I179" i="3" s="1"/>
  <c r="L179" i="3" a="1"/>
  <c r="L179" i="3" s="1"/>
  <c r="A180" i="3" a="1"/>
  <c r="A180" i="3" s="1"/>
  <c r="C180" i="3" a="1"/>
  <c r="C180" i="3" s="1"/>
  <c r="E180" i="3" a="1"/>
  <c r="E180" i="3" s="1"/>
  <c r="G180" i="3" a="1"/>
  <c r="G180" i="3" s="1"/>
  <c r="I180" i="3" a="1"/>
  <c r="I180" i="3" s="1"/>
  <c r="L180" i="3" a="1"/>
  <c r="L180" i="3" s="1"/>
  <c r="A181" i="3" a="1"/>
  <c r="A181" i="3" s="1"/>
  <c r="C181" i="3" a="1"/>
  <c r="C181" i="3" s="1"/>
  <c r="E181" i="3" a="1"/>
  <c r="E181" i="3" s="1"/>
  <c r="G181" i="3" a="1"/>
  <c r="G181" i="3" s="1"/>
  <c r="I181" i="3" a="1"/>
  <c r="I181" i="3" s="1"/>
  <c r="L181" i="3" a="1"/>
  <c r="L181" i="3" s="1"/>
  <c r="A182" i="3" a="1"/>
  <c r="A182" i="3" s="1"/>
  <c r="C182" i="3" a="1"/>
  <c r="C182" i="3" s="1"/>
  <c r="E182" i="3" a="1"/>
  <c r="E182" i="3" s="1"/>
  <c r="G182" i="3" a="1"/>
  <c r="G182" i="3" s="1"/>
  <c r="I182" i="3" a="1"/>
  <c r="I182" i="3" s="1"/>
  <c r="L182" i="3" a="1"/>
  <c r="L182" i="3" s="1"/>
  <c r="A183" i="3" a="1"/>
  <c r="A183" i="3" s="1"/>
  <c r="C183" i="3" a="1"/>
  <c r="C183" i="3" s="1"/>
  <c r="E183" i="3" a="1"/>
  <c r="E183" i="3" s="1"/>
  <c r="H183" i="3" a="1"/>
  <c r="H183" i="3" s="1"/>
  <c r="K183" i="3" a="1"/>
  <c r="K183" i="3" s="1"/>
  <c r="M183" i="3" a="1"/>
  <c r="M183" i="3" s="1"/>
  <c r="B184" i="3" a="1"/>
  <c r="B184" i="3" s="1"/>
  <c r="D184" i="3" a="1"/>
  <c r="D184" i="3" s="1"/>
  <c r="F184" i="3" a="1"/>
  <c r="F184" i="3" s="1"/>
  <c r="H184" i="3" a="1"/>
  <c r="H184" i="3" s="1"/>
  <c r="K184" i="3" a="1"/>
  <c r="K184" i="3" s="1"/>
  <c r="M184" i="3" a="1"/>
  <c r="M184" i="3" s="1"/>
  <c r="B185" i="3" a="1"/>
  <c r="B185" i="3" s="1"/>
  <c r="D185" i="3" a="1"/>
  <c r="D185" i="3" s="1"/>
  <c r="F185" i="3" a="1"/>
  <c r="F185" i="3" s="1"/>
  <c r="H185" i="3" a="1"/>
  <c r="H185" i="3" s="1"/>
  <c r="K185" i="3" a="1"/>
  <c r="K185" i="3" s="1"/>
  <c r="M185" i="3" a="1"/>
  <c r="M185" i="3" s="1"/>
  <c r="B186" i="3" a="1"/>
  <c r="B186" i="3" s="1"/>
  <c r="D186" i="3" a="1"/>
  <c r="D186" i="3" s="1"/>
  <c r="F186" i="3" a="1"/>
  <c r="F186" i="3" s="1"/>
  <c r="H186" i="3" a="1"/>
  <c r="H186" i="3" s="1"/>
  <c r="K186" i="3" a="1"/>
  <c r="K186" i="3" s="1"/>
  <c r="A187" i="3" a="1"/>
  <c r="A187" i="3" s="1"/>
  <c r="C187" i="3" a="1"/>
  <c r="C187" i="3" s="1"/>
  <c r="E187" i="3" a="1"/>
  <c r="E187" i="3" s="1"/>
  <c r="G187" i="3" a="1"/>
  <c r="G187" i="3" s="1"/>
  <c r="I187" i="3" a="1"/>
  <c r="I187" i="3" s="1"/>
  <c r="L187" i="3" a="1"/>
  <c r="L187" i="3" s="1"/>
  <c r="A188" i="3" a="1"/>
  <c r="A188" i="3" s="1"/>
  <c r="D188" i="3" a="1"/>
  <c r="D188" i="3" s="1"/>
  <c r="F188" i="3" a="1"/>
  <c r="F188" i="3" s="1"/>
  <c r="H188" i="3" a="1"/>
  <c r="H188" i="3" s="1"/>
  <c r="K188" i="3" a="1"/>
  <c r="K188" i="3" s="1"/>
  <c r="M188" i="3" a="1"/>
  <c r="M188" i="3" s="1"/>
  <c r="B189" i="3" a="1"/>
  <c r="B189" i="3" s="1"/>
  <c r="D189" i="3" a="1"/>
  <c r="D189" i="3" s="1"/>
  <c r="F189" i="3" a="1"/>
  <c r="F189" i="3" s="1"/>
  <c r="H189" i="3" a="1"/>
  <c r="H189" i="3" s="1"/>
  <c r="K189" i="3" a="1"/>
  <c r="K189" i="3" s="1"/>
  <c r="M189" i="3" a="1"/>
  <c r="M189" i="3" s="1"/>
  <c r="B190" i="3" a="1"/>
  <c r="B190" i="3" s="1"/>
  <c r="D190" i="3" a="1"/>
  <c r="D190" i="3" s="1"/>
  <c r="F190" i="3" a="1"/>
  <c r="F190" i="3" s="1"/>
  <c r="H190" i="3" a="1"/>
  <c r="H190" i="3" s="1"/>
  <c r="K190" i="3" a="1"/>
  <c r="K190" i="3" s="1"/>
  <c r="M190" i="3" a="1"/>
  <c r="M190" i="3" s="1"/>
  <c r="C191" i="3" a="1"/>
  <c r="C191" i="3" s="1"/>
  <c r="E191" i="3" a="1"/>
  <c r="E191" i="3" s="1"/>
  <c r="G191" i="3" a="1"/>
  <c r="G191" i="3" s="1"/>
  <c r="I191" i="3" a="1"/>
  <c r="I191" i="3" s="1"/>
  <c r="L191" i="3" a="1"/>
  <c r="L191" i="3" s="1"/>
  <c r="A192" i="3" a="1"/>
  <c r="A192" i="3" s="1"/>
  <c r="C192" i="3" a="1"/>
  <c r="C192" i="3" s="1"/>
  <c r="E192" i="3" a="1"/>
  <c r="E192" i="3" s="1"/>
  <c r="H192" i="3" a="1"/>
  <c r="H192" i="3" s="1"/>
  <c r="K192" i="3" a="1"/>
  <c r="K192" i="3" s="1"/>
  <c r="L192" i="3" a="1"/>
  <c r="L192" i="3" s="1"/>
  <c r="A193" i="3" a="1"/>
  <c r="A193" i="3" s="1"/>
  <c r="C193" i="3" a="1"/>
  <c r="C193" i="3" s="1"/>
  <c r="E193" i="3" a="1"/>
  <c r="E193" i="3" s="1"/>
  <c r="G193" i="3" a="1"/>
  <c r="G193" i="3" s="1"/>
  <c r="I193" i="3" a="1"/>
  <c r="I193" i="3" s="1"/>
  <c r="L193" i="3" a="1"/>
  <c r="L193" i="3" s="1"/>
  <c r="A194" i="3" a="1"/>
  <c r="A194" i="3" s="1"/>
  <c r="C194" i="3" a="1"/>
  <c r="C194" i="3" s="1"/>
  <c r="E194" i="3" a="1"/>
  <c r="E194" i="3" s="1"/>
  <c r="G194" i="3" a="1"/>
  <c r="G194" i="3" s="1"/>
  <c r="I194" i="3" a="1"/>
  <c r="I194" i="3" s="1"/>
  <c r="L194" i="3" a="1"/>
  <c r="L194" i="3" s="1"/>
  <c r="A195" i="3" a="1"/>
  <c r="A195" i="3" s="1"/>
  <c r="C195" i="3" a="1"/>
  <c r="C195" i="3" s="1"/>
  <c r="E195" i="3" a="1"/>
  <c r="E195" i="3" s="1"/>
  <c r="G195" i="3" a="1"/>
  <c r="G195" i="3" s="1"/>
  <c r="I195" i="3" a="1"/>
  <c r="I195" i="3" s="1"/>
  <c r="L195" i="3" a="1"/>
  <c r="L195" i="3" s="1"/>
  <c r="A196" i="3" a="1"/>
  <c r="A196" i="3" s="1"/>
  <c r="C196" i="3" a="1"/>
  <c r="C196" i="3" s="1"/>
  <c r="E196" i="3" a="1"/>
  <c r="E196" i="3" s="1"/>
  <c r="G196" i="3" a="1"/>
  <c r="G196" i="3" s="1"/>
  <c r="I196" i="3" a="1"/>
  <c r="I196" i="3" s="1"/>
  <c r="L196" i="3" a="1"/>
  <c r="L196" i="3" s="1"/>
  <c r="A197" i="3" a="1"/>
  <c r="A197" i="3" s="1"/>
  <c r="C197" i="3" a="1"/>
  <c r="C197" i="3" s="1"/>
  <c r="E197" i="3" a="1"/>
  <c r="E197" i="3" s="1"/>
  <c r="G197" i="3" a="1"/>
  <c r="G197" i="3" s="1"/>
  <c r="I197" i="3" a="1"/>
  <c r="I197" i="3" s="1"/>
  <c r="M197" i="3" a="1"/>
  <c r="M197" i="3" s="1"/>
  <c r="B198" i="3" a="1"/>
  <c r="B198" i="3" s="1"/>
  <c r="C198" i="3" a="1"/>
  <c r="C198" i="3" s="1"/>
  <c r="E198" i="3" a="1"/>
  <c r="E198" i="3" s="1"/>
  <c r="G198" i="3" a="1"/>
  <c r="G198" i="3" s="1"/>
  <c r="I198" i="3" a="1"/>
  <c r="I198" i="3" s="1"/>
  <c r="L198" i="3" a="1"/>
  <c r="L198" i="3" s="1"/>
  <c r="A199" i="3" a="1"/>
  <c r="A199" i="3" s="1"/>
  <c r="C199" i="3" a="1"/>
  <c r="C199" i="3" s="1"/>
  <c r="E199" i="3" a="1"/>
  <c r="E199" i="3" s="1"/>
  <c r="G199" i="3" a="1"/>
  <c r="G199" i="3" s="1"/>
  <c r="K199" i="3" a="1"/>
  <c r="K199" i="3" s="1"/>
  <c r="M199" i="3" a="1"/>
  <c r="M199" i="3" s="1"/>
  <c r="B200" i="3" a="1"/>
  <c r="B200" i="3" s="1"/>
  <c r="D200" i="3" a="1"/>
  <c r="D200" i="3" s="1"/>
  <c r="F200" i="3" a="1"/>
  <c r="F200" i="3" s="1"/>
  <c r="H200" i="3" a="1"/>
  <c r="H200" i="3" s="1"/>
  <c r="K200" i="3" a="1"/>
  <c r="K200" i="3" s="1"/>
  <c r="M200" i="3" a="1"/>
  <c r="M200" i="3" s="1"/>
  <c r="B201" i="3" a="1"/>
  <c r="B201" i="3" s="1"/>
  <c r="E201" i="3" a="1"/>
  <c r="E201" i="3" s="1"/>
  <c r="G201" i="3" a="1"/>
  <c r="G201" i="3" s="1"/>
  <c r="I201" i="3" a="1"/>
  <c r="I201" i="3" s="1"/>
  <c r="L201" i="3" a="1"/>
  <c r="L201" i="3" s="1"/>
  <c r="A202" i="3" a="1"/>
  <c r="A202" i="3" s="1"/>
  <c r="C202" i="3" a="1"/>
  <c r="C202" i="3" s="1"/>
  <c r="E202" i="3" a="1"/>
  <c r="E202" i="3" s="1"/>
  <c r="H202" i="3" a="1"/>
  <c r="H202" i="3" s="1"/>
  <c r="K202" i="3" a="1"/>
  <c r="K202" i="3" s="1"/>
  <c r="M202" i="3" a="1"/>
  <c r="M202" i="3" s="1"/>
  <c r="A203" i="3" a="1"/>
  <c r="A203" i="3" s="1"/>
  <c r="C203" i="3" a="1"/>
  <c r="C203" i="3" s="1"/>
  <c r="E203" i="3" a="1"/>
  <c r="E203" i="3" s="1"/>
  <c r="G203" i="3" a="1"/>
  <c r="G203" i="3" s="1"/>
  <c r="I203" i="3" a="1"/>
  <c r="I203" i="3" s="1"/>
  <c r="L203" i="3" a="1"/>
  <c r="L203" i="3" s="1"/>
  <c r="A204" i="3" a="1"/>
  <c r="A204" i="3" s="1"/>
  <c r="C204" i="3" a="1"/>
  <c r="C204" i="3" s="1"/>
  <c r="E204" i="3" a="1"/>
  <c r="E204" i="3" s="1"/>
  <c r="H204" i="3" a="1"/>
  <c r="H204" i="3" s="1"/>
  <c r="K204" i="3" a="1"/>
  <c r="K204" i="3" s="1"/>
  <c r="M204" i="3" a="1"/>
  <c r="M204" i="3" s="1"/>
  <c r="B205" i="3" a="1"/>
  <c r="B205" i="3" s="1"/>
  <c r="D205" i="3" a="1"/>
  <c r="D205" i="3" s="1"/>
  <c r="F205" i="3" a="1"/>
  <c r="F205" i="3" s="1"/>
  <c r="H205" i="3" a="1"/>
  <c r="H205" i="3" s="1"/>
  <c r="K205" i="3" a="1"/>
  <c r="K205" i="3" s="1"/>
  <c r="A206" i="3" a="1"/>
  <c r="A206" i="3" s="1"/>
  <c r="C206" i="3" a="1"/>
  <c r="C206" i="3" s="1"/>
  <c r="E206" i="3" a="1"/>
  <c r="E206" i="3" s="1"/>
  <c r="G206" i="3" a="1"/>
  <c r="G206" i="3" s="1"/>
  <c r="I206" i="3" a="1"/>
  <c r="I206" i="3" s="1"/>
  <c r="L206" i="3" a="1"/>
  <c r="L206" i="3" s="1"/>
  <c r="A207" i="3" a="1"/>
  <c r="A207" i="3" s="1"/>
  <c r="B207" i="3" a="1"/>
  <c r="B207" i="3" s="1"/>
  <c r="E207" i="3" a="1"/>
  <c r="E207" i="3" s="1"/>
  <c r="G207" i="3" a="1"/>
  <c r="G207" i="3" s="1"/>
  <c r="K208" i="3" a="1"/>
  <c r="K208" i="3" s="1"/>
  <c r="M208" i="3" a="1"/>
  <c r="M208" i="3" s="1"/>
  <c r="B209" i="3" a="1"/>
  <c r="B209" i="3" s="1"/>
  <c r="D209" i="3" a="1"/>
  <c r="D209" i="3" s="1"/>
  <c r="F209" i="3" a="1"/>
  <c r="F209" i="3" s="1"/>
  <c r="H209" i="3" a="1"/>
  <c r="H209" i="3" s="1"/>
  <c r="K209" i="3" a="1"/>
  <c r="K209" i="3" s="1"/>
  <c r="M209" i="3" a="1"/>
  <c r="M209" i="3" s="1"/>
  <c r="B210" i="3" a="1"/>
  <c r="B210" i="3" s="1"/>
  <c r="D210" i="3" a="1"/>
  <c r="D210" i="3" s="1"/>
  <c r="F210" i="3" a="1"/>
  <c r="F210" i="3" s="1"/>
  <c r="H210" i="3" a="1"/>
  <c r="H210" i="3" s="1"/>
  <c r="K210" i="3" a="1"/>
  <c r="K210" i="3" s="1"/>
  <c r="M210" i="3" a="1"/>
  <c r="M210" i="3" s="1"/>
  <c r="B211" i="3" a="1"/>
  <c r="B211" i="3" s="1"/>
  <c r="D211" i="3" a="1"/>
  <c r="D211" i="3" s="1"/>
  <c r="F211" i="3" a="1"/>
  <c r="F211" i="3" s="1"/>
  <c r="H211" i="3" a="1"/>
  <c r="H211" i="3" s="1"/>
  <c r="K211" i="3" a="1"/>
  <c r="K211" i="3" s="1"/>
  <c r="M211" i="3" a="1"/>
  <c r="M211" i="3" s="1"/>
  <c r="B212" i="3" a="1"/>
  <c r="B212" i="3" s="1"/>
  <c r="D212" i="3" a="1"/>
  <c r="D212" i="3" s="1"/>
  <c r="F212" i="3" a="1"/>
  <c r="F212" i="3" s="1"/>
  <c r="H212" i="3" a="1"/>
  <c r="H212" i="3" s="1"/>
  <c r="K212" i="3" a="1"/>
  <c r="K212" i="3" s="1"/>
  <c r="M212" i="3" a="1"/>
  <c r="M212" i="3" s="1"/>
  <c r="B213" i="3" a="1"/>
  <c r="B213" i="3" s="1"/>
  <c r="D213" i="3" a="1"/>
  <c r="D213" i="3" s="1"/>
  <c r="F213" i="3" a="1"/>
  <c r="F213" i="3" s="1"/>
  <c r="H213" i="3" a="1"/>
  <c r="H213" i="3" s="1"/>
  <c r="K213" i="3" a="1"/>
  <c r="K213" i="3" s="1"/>
  <c r="M213" i="3" a="1"/>
  <c r="M213" i="3" s="1"/>
  <c r="B214" i="3" a="1"/>
  <c r="B214" i="3" s="1"/>
  <c r="D214" i="3" a="1"/>
  <c r="D214" i="3" s="1"/>
  <c r="F214" i="3" a="1"/>
  <c r="F214" i="3" s="1"/>
  <c r="H214" i="3" a="1"/>
  <c r="H214" i="3" s="1"/>
  <c r="K214" i="3" a="1"/>
  <c r="K214" i="3" s="1"/>
  <c r="M214" i="3" a="1"/>
  <c r="M214" i="3" s="1"/>
  <c r="A215" i="3" a="1"/>
  <c r="A215" i="3" s="1"/>
  <c r="B215" i="3" a="1"/>
  <c r="B215" i="3" s="1"/>
  <c r="C215" i="3" a="1"/>
  <c r="C215" i="3" s="1"/>
  <c r="D215" i="3" a="1"/>
  <c r="D215" i="3" s="1"/>
  <c r="E215" i="3" a="1"/>
  <c r="E215" i="3" s="1"/>
  <c r="G215" i="3" a="1"/>
  <c r="G215" i="3" s="1"/>
  <c r="I215" i="3" a="1"/>
  <c r="I215" i="3" s="1"/>
  <c r="L215" i="3" a="1"/>
  <c r="L215" i="3" s="1"/>
  <c r="A216" i="3" a="1"/>
  <c r="A216" i="3" s="1"/>
  <c r="D216" i="3" a="1"/>
  <c r="D216" i="3" s="1"/>
  <c r="F216" i="3" a="1"/>
  <c r="F216" i="3" s="1"/>
  <c r="H216" i="3" a="1"/>
  <c r="H216" i="3" s="1"/>
  <c r="K216" i="3" a="1"/>
  <c r="K216" i="3" s="1"/>
  <c r="M216" i="3" a="1"/>
  <c r="M216" i="3" s="1"/>
  <c r="B217" i="3" a="1"/>
  <c r="B217" i="3" s="1"/>
  <c r="D217" i="3" a="1"/>
  <c r="D217" i="3" s="1"/>
  <c r="F217" i="3" a="1"/>
  <c r="F217" i="3" s="1"/>
  <c r="H217" i="3" a="1"/>
  <c r="H217" i="3" s="1"/>
  <c r="K217" i="3" a="1"/>
  <c r="K217" i="3" s="1"/>
  <c r="M217" i="3" a="1"/>
  <c r="M217" i="3" s="1"/>
  <c r="B218" i="3" a="1"/>
  <c r="B218" i="3" s="1"/>
  <c r="D218" i="3" a="1"/>
  <c r="D218" i="3" s="1"/>
  <c r="F218" i="3" a="1"/>
  <c r="F218" i="3" s="1"/>
  <c r="H218" i="3" a="1"/>
  <c r="H218" i="3" s="1"/>
  <c r="K218" i="3" a="1"/>
  <c r="K218" i="3" s="1"/>
  <c r="M218" i="3" a="1"/>
  <c r="M218" i="3" s="1"/>
  <c r="B219" i="3" a="1"/>
  <c r="B219" i="3" s="1"/>
  <c r="D219" i="3" a="1"/>
  <c r="D219" i="3" s="1"/>
  <c r="F219" i="3" a="1"/>
  <c r="F219" i="3" s="1"/>
  <c r="H219" i="3" a="1"/>
  <c r="H219" i="3" s="1"/>
  <c r="K219" i="3" a="1"/>
  <c r="K219" i="3" s="1"/>
  <c r="M219" i="3" a="1"/>
  <c r="M219" i="3" s="1"/>
  <c r="B220" i="3" a="1"/>
  <c r="B220" i="3" s="1"/>
  <c r="D220" i="3" a="1"/>
  <c r="D220" i="3" s="1"/>
  <c r="F220" i="3" a="1"/>
  <c r="F220" i="3" s="1"/>
  <c r="H220" i="3" a="1"/>
  <c r="H220" i="3" s="1"/>
  <c r="L220" i="3" a="1"/>
  <c r="L220" i="3" s="1"/>
  <c r="A221" i="3" a="1"/>
  <c r="A221" i="3" s="1"/>
  <c r="C221" i="3" a="1"/>
  <c r="C221" i="3" s="1"/>
  <c r="E221" i="3" a="1"/>
  <c r="E221" i="3" s="1"/>
  <c r="G221" i="3" a="1"/>
  <c r="G221" i="3" s="1"/>
  <c r="I221" i="3" a="1"/>
  <c r="I221" i="3" s="1"/>
  <c r="L221" i="3" a="1"/>
  <c r="L221" i="3" s="1"/>
  <c r="A222" i="3" a="1"/>
  <c r="A222" i="3" s="1"/>
  <c r="C222" i="3" a="1"/>
  <c r="C222" i="3" s="1"/>
  <c r="E222" i="3" a="1"/>
  <c r="E222" i="3" s="1"/>
  <c r="G222" i="3" a="1"/>
  <c r="G222" i="3" s="1"/>
  <c r="I222" i="3" a="1"/>
  <c r="I222" i="3" s="1"/>
  <c r="L222" i="3" a="1"/>
  <c r="L222" i="3" s="1"/>
  <c r="A223" i="3" a="1"/>
  <c r="A223" i="3" s="1"/>
  <c r="C223" i="3" a="1"/>
  <c r="C223" i="3" s="1"/>
  <c r="E223" i="3" a="1"/>
  <c r="E223" i="3" s="1"/>
  <c r="G223" i="3" a="1"/>
  <c r="G223" i="3" s="1"/>
  <c r="I223" i="3" a="1"/>
  <c r="I223" i="3" s="1"/>
  <c r="L223" i="3" a="1"/>
  <c r="L223" i="3" s="1"/>
  <c r="A224" i="3" a="1"/>
  <c r="A224" i="3" s="1"/>
  <c r="C224" i="3" a="1"/>
  <c r="C224" i="3" s="1"/>
  <c r="E224" i="3" a="1"/>
  <c r="E224" i="3" s="1"/>
  <c r="H224" i="3" a="1"/>
  <c r="H224" i="3" s="1"/>
  <c r="K224" i="3" a="1"/>
  <c r="K224" i="3" s="1"/>
  <c r="M224" i="3" a="1"/>
  <c r="M224" i="3" s="1"/>
  <c r="B225" i="3" a="1"/>
  <c r="B225" i="3" s="1"/>
  <c r="D225" i="3" a="1"/>
  <c r="D225" i="3" s="1"/>
  <c r="F225" i="3" a="1"/>
  <c r="F225" i="3" s="1"/>
  <c r="H225" i="3" a="1"/>
  <c r="H225" i="3" s="1"/>
  <c r="K225" i="3" a="1"/>
  <c r="K225" i="3" s="1"/>
  <c r="M225" i="3" a="1"/>
  <c r="M225" i="3" s="1"/>
  <c r="B226" i="3" a="1"/>
  <c r="B226" i="3" s="1"/>
  <c r="D226" i="3" a="1"/>
  <c r="D226" i="3" s="1"/>
  <c r="G226" i="3" a="1"/>
  <c r="G226" i="3" s="1"/>
  <c r="I226" i="3" a="1"/>
  <c r="I226" i="3" s="1"/>
  <c r="L226" i="3" a="1"/>
  <c r="L226" i="3" s="1"/>
  <c r="A227" i="3" a="1"/>
  <c r="A227" i="3" s="1"/>
  <c r="C227" i="3" a="1"/>
  <c r="C227" i="3" s="1"/>
  <c r="E227" i="3" a="1"/>
  <c r="E227" i="3" s="1"/>
  <c r="G227" i="3" a="1"/>
  <c r="G227" i="3" s="1"/>
  <c r="I227" i="3" a="1"/>
  <c r="I227" i="3" s="1"/>
  <c r="L227" i="3" a="1"/>
  <c r="L227" i="3" s="1"/>
  <c r="A228" i="3" a="1"/>
  <c r="A228" i="3" s="1"/>
  <c r="C228" i="3" a="1"/>
  <c r="C228" i="3" s="1"/>
  <c r="E228" i="3" a="1"/>
  <c r="E228" i="3" s="1"/>
  <c r="G228" i="3" a="1"/>
  <c r="G228" i="3" s="1"/>
  <c r="I228" i="3" a="1"/>
  <c r="I228" i="3" s="1"/>
  <c r="L228" i="3" a="1"/>
  <c r="L228" i="3" s="1"/>
  <c r="A229" i="3" a="1"/>
  <c r="A229" i="3" s="1"/>
  <c r="C229" i="3" a="1"/>
  <c r="C229" i="3" s="1"/>
  <c r="E229" i="3" a="1"/>
  <c r="E229" i="3" s="1"/>
  <c r="G229" i="3" a="1"/>
  <c r="G229" i="3" s="1"/>
  <c r="I229" i="3" a="1"/>
  <c r="I229" i="3" s="1"/>
  <c r="L229" i="3" a="1"/>
  <c r="L229" i="3" s="1"/>
  <c r="A230" i="3" a="1"/>
  <c r="A230" i="3" s="1"/>
  <c r="C230" i="3" a="1"/>
  <c r="C230" i="3" s="1"/>
  <c r="E230" i="3" a="1"/>
  <c r="E230" i="3" s="1"/>
  <c r="G230" i="3" a="1"/>
  <c r="G230" i="3" s="1"/>
  <c r="I230" i="3" a="1"/>
  <c r="I230" i="3" s="1"/>
  <c r="L230" i="3" a="1"/>
  <c r="L230" i="3" s="1"/>
  <c r="A231" i="3" a="1"/>
  <c r="A231" i="3" s="1"/>
  <c r="C231" i="3" a="1"/>
  <c r="C231" i="3" s="1"/>
  <c r="E231" i="3" a="1"/>
  <c r="E231" i="3" s="1"/>
  <c r="G231" i="3" a="1"/>
  <c r="G231" i="3" s="1"/>
  <c r="K231" i="3" a="1"/>
  <c r="K231" i="3" s="1"/>
  <c r="M231" i="3" a="1"/>
  <c r="M231" i="3" s="1"/>
  <c r="B232" i="3" a="1"/>
  <c r="B232" i="3" s="1"/>
  <c r="D232" i="3" a="1"/>
  <c r="D232" i="3" s="1"/>
  <c r="F232" i="3" a="1"/>
  <c r="F232" i="3" s="1"/>
  <c r="H232" i="3" a="1"/>
  <c r="H232" i="3" s="1"/>
  <c r="K232" i="3" a="1"/>
  <c r="K232" i="3" s="1"/>
  <c r="M232" i="3" a="1"/>
  <c r="M232" i="3" s="1"/>
  <c r="B233" i="3" a="1"/>
  <c r="B233" i="3" s="1"/>
  <c r="D233" i="3" a="1"/>
  <c r="D233" i="3" s="1"/>
  <c r="F233" i="3" a="1"/>
  <c r="F233" i="3" s="1"/>
  <c r="H233" i="3" a="1"/>
  <c r="H233" i="3" s="1"/>
  <c r="K233" i="3" a="1"/>
  <c r="K233" i="3" s="1"/>
  <c r="M233" i="3" a="1"/>
  <c r="M233" i="3" s="1"/>
  <c r="B234" i="3" a="1"/>
  <c r="B234" i="3" s="1"/>
  <c r="D234" i="3" a="1"/>
  <c r="D234" i="3" s="1"/>
  <c r="F234" i="3" a="1"/>
  <c r="F234" i="3" s="1"/>
  <c r="H234" i="3" a="1"/>
  <c r="H234" i="3" s="1"/>
  <c r="I234" i="3" a="1"/>
  <c r="I234" i="3" s="1"/>
  <c r="L234" i="3" a="1"/>
  <c r="L234" i="3" s="1"/>
  <c r="B235" i="3" a="1"/>
  <c r="B235" i="3" s="1"/>
  <c r="D235" i="3" a="1"/>
  <c r="D235" i="3" s="1"/>
  <c r="F235" i="3" a="1"/>
  <c r="F235" i="3" s="1"/>
  <c r="H235" i="3" a="1"/>
  <c r="H235" i="3" s="1"/>
  <c r="K235" i="3" a="1"/>
  <c r="K235" i="3" s="1"/>
  <c r="M235" i="3" a="1"/>
  <c r="M235" i="3" s="1"/>
  <c r="C236" i="3" a="1"/>
  <c r="C236" i="3" s="1"/>
  <c r="E236" i="3" a="1"/>
  <c r="E236" i="3" s="1"/>
  <c r="G236" i="3" a="1"/>
  <c r="G236" i="3" s="1"/>
  <c r="I236" i="3" a="1"/>
  <c r="I236" i="3" s="1"/>
  <c r="L236" i="3" a="1"/>
  <c r="L236" i="3" s="1"/>
  <c r="A237" i="3" a="1"/>
  <c r="A237" i="3" s="1"/>
  <c r="C237" i="3" a="1"/>
  <c r="C237" i="3" s="1"/>
  <c r="E237" i="3" a="1"/>
  <c r="E237" i="3" s="1"/>
  <c r="G237" i="3" a="1"/>
  <c r="G237" i="3" s="1"/>
  <c r="I237" i="3" a="1"/>
  <c r="I237" i="3" s="1"/>
  <c r="L237" i="3" a="1"/>
  <c r="L237" i="3" s="1"/>
  <c r="A238" i="3" a="1"/>
  <c r="A238" i="3" s="1"/>
  <c r="C238" i="3" a="1"/>
  <c r="C238" i="3" s="1"/>
  <c r="E238" i="3" a="1"/>
  <c r="E238" i="3" s="1"/>
  <c r="G238" i="3" a="1"/>
  <c r="G238" i="3" s="1"/>
  <c r="I238" i="3" a="1"/>
  <c r="I238" i="3" s="1"/>
  <c r="L238" i="3" a="1"/>
  <c r="L238" i="3" s="1"/>
  <c r="A239" i="3" a="1"/>
  <c r="A239" i="3" s="1"/>
  <c r="C239" i="3" a="1"/>
  <c r="C239" i="3" s="1"/>
  <c r="E239" i="3" a="1"/>
  <c r="E239" i="3" s="1"/>
  <c r="G239" i="3" a="1"/>
  <c r="G239" i="3" s="1"/>
  <c r="I239" i="3" a="1"/>
  <c r="I239" i="3" s="1"/>
  <c r="L239" i="3" a="1"/>
  <c r="L239" i="3" s="1"/>
  <c r="A240" i="3" a="1"/>
  <c r="A240" i="3" s="1"/>
  <c r="C240" i="3" a="1"/>
  <c r="C240" i="3" s="1"/>
  <c r="E240" i="3" a="1"/>
  <c r="E240" i="3" s="1"/>
  <c r="G240" i="3" a="1"/>
  <c r="G240" i="3" s="1"/>
  <c r="I240" i="3" a="1"/>
  <c r="I240" i="3" s="1"/>
  <c r="L240" i="3" a="1"/>
  <c r="L240" i="3" s="1"/>
  <c r="A241" i="3" a="1"/>
  <c r="A241" i="3" s="1"/>
  <c r="D241" i="3" a="1"/>
  <c r="D241" i="3" s="1"/>
  <c r="F241" i="3" a="1"/>
  <c r="F241" i="3" s="1"/>
  <c r="H241" i="3" a="1"/>
  <c r="H241" i="3" s="1"/>
  <c r="K241" i="3" a="1"/>
  <c r="K241" i="3" s="1"/>
  <c r="M241" i="3" a="1"/>
  <c r="M241" i="3" s="1"/>
  <c r="B242" i="3" a="1"/>
  <c r="B242" i="3" s="1"/>
  <c r="D242" i="3" a="1"/>
  <c r="D242" i="3" s="1"/>
  <c r="F242" i="3" a="1"/>
  <c r="F242" i="3" s="1"/>
  <c r="H242" i="3" a="1"/>
  <c r="H242" i="3" s="1"/>
  <c r="K242" i="3" a="1"/>
  <c r="K242" i="3" s="1"/>
  <c r="M242" i="3" a="1"/>
  <c r="M242" i="3" s="1"/>
  <c r="B243" i="3" a="1"/>
  <c r="B243" i="3" s="1"/>
  <c r="D243" i="3" a="1"/>
  <c r="D243" i="3" s="1"/>
  <c r="F243" i="3" a="1"/>
  <c r="F243" i="3" s="1"/>
  <c r="H243" i="3" a="1"/>
  <c r="H243" i="3" s="1"/>
  <c r="K243" i="3" a="1"/>
  <c r="K243" i="3" s="1"/>
  <c r="A244" i="3" a="1"/>
  <c r="A244" i="3" s="1"/>
  <c r="C244" i="3" a="1"/>
  <c r="C244" i="3" s="1"/>
  <c r="E244" i="3" a="1"/>
  <c r="E244" i="3" s="1"/>
  <c r="G244" i="3" a="1"/>
  <c r="G244" i="3" s="1"/>
  <c r="I244" i="3" a="1"/>
  <c r="I244" i="3" s="1"/>
  <c r="L244" i="3" a="1"/>
  <c r="L244" i="3" s="1"/>
  <c r="A245" i="3" a="1"/>
  <c r="A245" i="3" s="1"/>
  <c r="D245" i="3" a="1"/>
  <c r="D245" i="3" s="1"/>
  <c r="F245" i="3" a="1"/>
  <c r="F245" i="3" s="1"/>
  <c r="H245" i="3" a="1"/>
  <c r="H245" i="3" s="1"/>
  <c r="K245" i="3" a="1"/>
  <c r="K245" i="3" s="1"/>
  <c r="M245" i="3" a="1"/>
  <c r="M245" i="3" s="1"/>
  <c r="B246" i="3" a="1"/>
  <c r="B246" i="3" s="1"/>
  <c r="D246" i="3" a="1"/>
  <c r="D246" i="3" s="1"/>
  <c r="E246" i="3" a="1"/>
  <c r="E246" i="3" s="1"/>
  <c r="G246" i="3" a="1"/>
  <c r="G246" i="3" s="1"/>
  <c r="I246" i="3" a="1"/>
  <c r="I246" i="3" s="1"/>
  <c r="L246" i="3" a="1"/>
  <c r="L246" i="3" s="1"/>
  <c r="A247" i="3" a="1"/>
  <c r="A247" i="3" s="1"/>
  <c r="C247" i="3" a="1"/>
  <c r="C247" i="3" s="1"/>
  <c r="E247" i="3" a="1"/>
  <c r="E247" i="3" s="1"/>
  <c r="H247" i="3" a="1"/>
  <c r="H247" i="3" s="1"/>
  <c r="K247" i="3" a="1"/>
  <c r="K247" i="3" s="1"/>
  <c r="M247" i="3" a="1"/>
  <c r="M247" i="3" s="1"/>
  <c r="B248" i="3" a="1"/>
  <c r="B248" i="3" s="1"/>
  <c r="D248" i="3" a="1"/>
  <c r="D248" i="3" s="1"/>
  <c r="F248" i="3" a="1"/>
  <c r="F248" i="3" s="1"/>
  <c r="H248" i="3" a="1"/>
  <c r="H248" i="3" s="1"/>
  <c r="K248" i="3" a="1"/>
  <c r="K248" i="3" s="1"/>
  <c r="M248" i="3" a="1"/>
  <c r="M248" i="3" s="1"/>
  <c r="B249" i="3" a="1"/>
  <c r="B249" i="3" s="1"/>
  <c r="D249" i="3" a="1"/>
  <c r="D249" i="3" s="1"/>
  <c r="F249" i="3" a="1"/>
  <c r="F249" i="3" s="1"/>
  <c r="H249" i="3" a="1"/>
  <c r="H249" i="3" s="1"/>
  <c r="K249" i="3" a="1"/>
  <c r="K249" i="3" s="1"/>
  <c r="L249" i="3" a="1"/>
  <c r="L249" i="3" s="1"/>
  <c r="A250" i="3" a="1"/>
  <c r="A250" i="3" s="1"/>
  <c r="C250" i="3" a="1"/>
  <c r="C250" i="3" s="1"/>
  <c r="E250" i="3" a="1"/>
  <c r="E250" i="3" s="1"/>
  <c r="G250" i="3" a="1"/>
  <c r="G250" i="3" s="1"/>
  <c r="I250" i="3" a="1"/>
  <c r="I250" i="3" s="1"/>
  <c r="M250" i="3" a="1"/>
  <c r="M250" i="3" s="1"/>
  <c r="B251" i="3" a="1"/>
  <c r="B251" i="3" s="1"/>
  <c r="D251" i="3" a="1"/>
  <c r="D251" i="3" s="1"/>
  <c r="F251" i="3" a="1"/>
  <c r="F251" i="3" s="1"/>
  <c r="H251" i="3" a="1"/>
  <c r="H251" i="3" s="1"/>
  <c r="K251" i="3" a="1"/>
  <c r="K251" i="3" s="1"/>
  <c r="M251" i="3" a="1"/>
  <c r="M251" i="3" s="1"/>
  <c r="B252" i="3" a="1"/>
  <c r="B252" i="3" s="1"/>
  <c r="D252" i="3" a="1"/>
  <c r="D252" i="3" s="1"/>
  <c r="F252" i="3" a="1"/>
  <c r="F252" i="3" s="1"/>
  <c r="H252" i="3" a="1"/>
  <c r="H252" i="3" s="1"/>
  <c r="L252" i="3" a="1"/>
  <c r="L252" i="3" s="1"/>
  <c r="A253" i="3" a="1"/>
  <c r="A253" i="3" s="1"/>
  <c r="C253" i="3" a="1"/>
  <c r="C253" i="3" s="1"/>
  <c r="E253" i="3" a="1"/>
  <c r="E253" i="3" s="1"/>
  <c r="G253" i="3" a="1"/>
  <c r="G253" i="3" s="1"/>
  <c r="I253" i="3" a="1"/>
  <c r="I253" i="3" s="1"/>
  <c r="L253" i="3" a="1"/>
  <c r="L253" i="3" s="1"/>
  <c r="A254" i="3" a="1"/>
  <c r="A254" i="3" s="1"/>
  <c r="C254" i="3" a="1"/>
  <c r="C254" i="3" s="1"/>
  <c r="E254" i="3" a="1"/>
  <c r="E254" i="3" s="1"/>
  <c r="G254" i="3" a="1"/>
  <c r="G254" i="3" s="1"/>
  <c r="I254" i="3" a="1"/>
  <c r="I254" i="3" s="1"/>
  <c r="L254" i="3" a="1"/>
  <c r="L254" i="3" s="1"/>
  <c r="A255" i="3" a="1"/>
  <c r="A255" i="3" s="1"/>
  <c r="C255" i="3" a="1"/>
  <c r="C255" i="3" s="1"/>
  <c r="E255" i="3" a="1"/>
  <c r="E255" i="3" s="1"/>
  <c r="G255" i="3" a="1"/>
  <c r="G255" i="3" s="1"/>
  <c r="I255" i="3" a="1"/>
  <c r="I255" i="3" s="1"/>
  <c r="L255" i="3" a="1"/>
  <c r="L255" i="3" s="1"/>
  <c r="A256" i="3" a="1"/>
  <c r="A256" i="3" s="1"/>
  <c r="C256" i="3" a="1"/>
  <c r="C256" i="3" s="1"/>
  <c r="E256" i="3" a="1"/>
  <c r="E256" i="3" s="1"/>
  <c r="G256" i="3" a="1"/>
  <c r="G256" i="3" s="1"/>
  <c r="I256" i="3" a="1"/>
  <c r="I256" i="3" s="1"/>
  <c r="L256" i="3" a="1"/>
  <c r="L256" i="3" s="1"/>
  <c r="A257" i="3" a="1"/>
  <c r="A257" i="3" s="1"/>
  <c r="C257" i="3" a="1"/>
  <c r="C257" i="3" s="1"/>
  <c r="F257" i="3" a="1"/>
  <c r="F257" i="3" s="1"/>
  <c r="H257" i="3" a="1"/>
  <c r="H257" i="3" s="1"/>
  <c r="K257" i="3" a="1"/>
  <c r="K257" i="3" s="1"/>
  <c r="M257" i="3" a="1"/>
  <c r="M257" i="3" s="1"/>
  <c r="B258" i="3" a="1"/>
  <c r="B258" i="3" s="1"/>
  <c r="D258" i="3" a="1"/>
  <c r="D258" i="3" s="1"/>
  <c r="F258" i="3" a="1"/>
  <c r="F258" i="3" s="1"/>
  <c r="H258" i="3" a="1"/>
  <c r="H258" i="3" s="1"/>
  <c r="K258" i="3" a="1"/>
  <c r="K258" i="3" s="1"/>
  <c r="M258" i="3" a="1"/>
  <c r="M258" i="3" s="1"/>
  <c r="B259" i="3" a="1"/>
  <c r="B259" i="3" s="1"/>
  <c r="E259" i="3" a="1"/>
  <c r="E259" i="3" s="1"/>
  <c r="I272" i="3" a="1"/>
  <c r="I272" i="3" s="1"/>
  <c r="L272" i="3" a="1"/>
  <c r="L272" i="3" s="1"/>
  <c r="A273" i="3" a="1"/>
  <c r="A273" i="3" s="1"/>
  <c r="C273" i="3" a="1"/>
  <c r="C273" i="3" s="1"/>
  <c r="E273" i="3" a="1"/>
  <c r="E273" i="3" s="1"/>
  <c r="G273" i="3" a="1"/>
  <c r="G273" i="3" s="1"/>
  <c r="I273" i="3" a="1"/>
  <c r="I273" i="3" s="1"/>
  <c r="L273" i="3" a="1"/>
  <c r="L273" i="3" s="1"/>
  <c r="A274" i="3" a="1"/>
  <c r="A274" i="3" s="1"/>
  <c r="C274" i="3" a="1"/>
  <c r="C274" i="3" s="1"/>
  <c r="E274" i="3" a="1"/>
  <c r="E274" i="3" s="1"/>
  <c r="H274" i="3" a="1"/>
  <c r="H274" i="3" s="1"/>
  <c r="I274" i="3" a="1"/>
  <c r="I274" i="3" s="1"/>
  <c r="L274" i="3" a="1"/>
  <c r="L274" i="3" s="1"/>
  <c r="A275" i="3" a="1"/>
  <c r="A275" i="3" s="1"/>
  <c r="C275" i="3" a="1"/>
  <c r="C275" i="3" s="1"/>
  <c r="E275" i="3" a="1"/>
  <c r="E275" i="3" s="1"/>
  <c r="H275" i="3" a="1"/>
  <c r="H275" i="3" s="1"/>
  <c r="K275" i="3" a="1"/>
  <c r="K275" i="3" s="1"/>
  <c r="M275" i="3" a="1"/>
  <c r="M275" i="3" s="1"/>
  <c r="B276" i="3" a="1"/>
  <c r="B276" i="3" s="1"/>
  <c r="D276" i="3" a="1"/>
  <c r="D276" i="3" s="1"/>
  <c r="F276" i="3" a="1"/>
  <c r="F276" i="3" s="1"/>
  <c r="H276" i="3" a="1"/>
  <c r="H276" i="3" s="1"/>
  <c r="K276" i="3" a="1"/>
  <c r="K276" i="3" s="1"/>
  <c r="A277" i="3" a="1"/>
  <c r="A277" i="3" s="1"/>
  <c r="C277" i="3" a="1"/>
  <c r="C277" i="3" s="1"/>
  <c r="E277" i="3" a="1"/>
  <c r="E277" i="3" s="1"/>
  <c r="G277" i="3" a="1"/>
  <c r="G277" i="3" s="1"/>
  <c r="I277" i="3" a="1"/>
  <c r="I277" i="3" s="1"/>
  <c r="L277" i="3" a="1"/>
  <c r="L277" i="3" s="1"/>
  <c r="A278" i="3" a="1"/>
  <c r="A278" i="3" s="1"/>
  <c r="C278" i="3" a="1"/>
  <c r="C278" i="3" s="1"/>
  <c r="E278" i="3" a="1"/>
  <c r="E278" i="3" s="1"/>
  <c r="G278" i="3" a="1"/>
  <c r="G278" i="3" s="1"/>
  <c r="I278" i="3" a="1"/>
  <c r="I278" i="3" s="1"/>
  <c r="L278" i="3" a="1"/>
  <c r="L278" i="3" s="1"/>
  <c r="A279" i="3" a="1"/>
  <c r="A279" i="3" s="1"/>
  <c r="C279" i="3" a="1"/>
  <c r="C279" i="3" s="1"/>
  <c r="E279" i="3" a="1"/>
  <c r="E279" i="3" s="1"/>
  <c r="G279" i="3" a="1"/>
  <c r="G279" i="3" s="1"/>
  <c r="I279" i="3" a="1"/>
  <c r="I279" i="3" s="1"/>
  <c r="L279" i="3" a="1"/>
  <c r="L279" i="3" s="1"/>
  <c r="A280" i="3" a="1"/>
  <c r="A280" i="3" s="1"/>
  <c r="C280" i="3" a="1"/>
  <c r="C280" i="3" s="1"/>
  <c r="E280" i="3" a="1"/>
  <c r="E280" i="3" s="1"/>
  <c r="G280" i="3" a="1"/>
  <c r="G280" i="3" s="1"/>
  <c r="I280" i="3" a="1"/>
  <c r="I280" i="3" s="1"/>
  <c r="L280" i="3" a="1"/>
  <c r="L280" i="3" s="1"/>
  <c r="A281" i="3" a="1"/>
  <c r="A281" i="3" s="1"/>
  <c r="C281" i="3" a="1"/>
  <c r="C281" i="3" s="1"/>
  <c r="E281" i="3" a="1"/>
  <c r="E281" i="3" s="1"/>
  <c r="G281" i="3" a="1"/>
  <c r="G281" i="3" s="1"/>
  <c r="I281" i="3" a="1"/>
  <c r="I281" i="3" s="1"/>
  <c r="L281" i="3" a="1"/>
  <c r="L281" i="3" s="1"/>
  <c r="A282" i="3" a="1"/>
  <c r="A282" i="3" s="1"/>
  <c r="C282" i="3" a="1"/>
  <c r="C282" i="3" s="1"/>
  <c r="E282" i="3" a="1"/>
  <c r="E282" i="3" s="1"/>
  <c r="G282" i="3" a="1"/>
  <c r="G282" i="3" s="1"/>
  <c r="K282" i="3" a="1"/>
  <c r="K282" i="3" s="1"/>
  <c r="M282" i="3" a="1"/>
  <c r="M282" i="3" s="1"/>
  <c r="B283" i="3" a="1"/>
  <c r="B283" i="3" s="1"/>
  <c r="D283" i="3" a="1"/>
  <c r="D283" i="3" s="1"/>
  <c r="F283" i="3" a="1"/>
  <c r="F283" i="3" s="1"/>
  <c r="G283" i="3" a="1"/>
  <c r="G283" i="3" s="1"/>
  <c r="I283" i="3" a="1"/>
  <c r="I283" i="3" s="1"/>
  <c r="M283" i="3" a="1"/>
  <c r="M283" i="3" s="1"/>
  <c r="B284" i="3" a="1"/>
  <c r="B284" i="3" s="1"/>
  <c r="D284" i="3" a="1"/>
  <c r="D284" i="3" s="1"/>
  <c r="F284" i="3" a="1"/>
  <c r="F284" i="3" s="1"/>
  <c r="H284" i="3" a="1"/>
  <c r="H284" i="3" s="1"/>
  <c r="K284" i="3" a="1"/>
  <c r="K284" i="3" s="1"/>
  <c r="M284" i="3" a="1"/>
  <c r="M284" i="3" s="1"/>
  <c r="B285" i="3" a="1"/>
  <c r="B285" i="3" s="1"/>
  <c r="D285" i="3" a="1"/>
  <c r="D285" i="3" s="1"/>
  <c r="F285" i="3" a="1"/>
  <c r="F285" i="3" s="1"/>
  <c r="H285" i="3" a="1"/>
  <c r="H285" i="3" s="1"/>
  <c r="L285" i="3" a="1"/>
  <c r="L285" i="3" s="1"/>
  <c r="A286" i="3" a="1"/>
  <c r="A286" i="3" s="1"/>
  <c r="C286" i="3" a="1"/>
  <c r="C286" i="3" s="1"/>
  <c r="E286" i="3" a="1"/>
  <c r="E286" i="3" s="1"/>
  <c r="G286" i="3" a="1"/>
  <c r="G286" i="3" s="1"/>
  <c r="I286" i="3" a="1"/>
  <c r="I286" i="3" s="1"/>
  <c r="L286" i="3" a="1"/>
  <c r="L286" i="3" s="1"/>
  <c r="A287" i="3" a="1"/>
  <c r="A287" i="3" s="1"/>
  <c r="C287" i="3" a="1"/>
  <c r="C287" i="3" s="1"/>
  <c r="E287" i="3" a="1"/>
  <c r="E287" i="3" s="1"/>
  <c r="H287" i="3" a="1"/>
  <c r="H287" i="3" s="1"/>
  <c r="K287" i="3" a="1"/>
  <c r="K287" i="3" s="1"/>
  <c r="M287" i="3" a="1"/>
  <c r="M287" i="3" s="1"/>
  <c r="B288" i="3" a="1"/>
  <c r="B288" i="3" s="1"/>
  <c r="E288" i="3" a="1"/>
  <c r="E288" i="3" s="1"/>
  <c r="M292" i="3" a="1"/>
  <c r="M292" i="3" s="1"/>
  <c r="B293" i="3" a="1"/>
  <c r="B293" i="3" s="1"/>
  <c r="D293" i="3" a="1"/>
  <c r="D293" i="3" s="1"/>
  <c r="F293" i="3" a="1"/>
  <c r="F293" i="3" s="1"/>
  <c r="I293" i="3" a="1"/>
  <c r="I293" i="3" s="1"/>
  <c r="L293" i="3" a="1"/>
  <c r="L293" i="3" s="1"/>
  <c r="A294" i="3" a="1"/>
  <c r="A294" i="3" s="1"/>
  <c r="C294" i="3" a="1"/>
  <c r="C294" i="3" s="1"/>
  <c r="E294" i="3" a="1"/>
  <c r="E294" i="3" s="1"/>
  <c r="G294" i="3" a="1"/>
  <c r="G294" i="3" s="1"/>
  <c r="I294" i="3" a="1"/>
  <c r="I294" i="3" s="1"/>
  <c r="L294" i="3" a="1"/>
  <c r="L294" i="3" s="1"/>
  <c r="A295" i="3" a="1"/>
  <c r="A295" i="3" s="1"/>
  <c r="C295" i="3" a="1"/>
  <c r="C295" i="3" s="1"/>
  <c r="E295" i="3" a="1"/>
  <c r="E295" i="3" s="1"/>
  <c r="G295" i="3" a="1"/>
  <c r="G295" i="3" s="1"/>
  <c r="I295" i="3" a="1"/>
  <c r="I295" i="3" s="1"/>
  <c r="L295" i="3" a="1"/>
  <c r="L295" i="3" s="1"/>
  <c r="A296" i="3" a="1"/>
  <c r="A296" i="3" s="1"/>
  <c r="C296" i="3" a="1"/>
  <c r="C296" i="3" s="1"/>
  <c r="E296" i="3" a="1"/>
  <c r="E296" i="3" s="1"/>
  <c r="G296" i="3" a="1"/>
  <c r="G296" i="3" s="1"/>
  <c r="I296" i="3" a="1"/>
  <c r="I296" i="3" s="1"/>
  <c r="L296" i="3" a="1"/>
  <c r="L296" i="3" s="1"/>
  <c r="A297" i="3" a="1"/>
  <c r="A297" i="3" s="1"/>
  <c r="C297" i="3" a="1"/>
  <c r="C297" i="3" s="1"/>
  <c r="E297" i="3" a="1"/>
  <c r="E297" i="3" s="1"/>
  <c r="G297" i="3" a="1"/>
  <c r="G297" i="3" s="1"/>
  <c r="I297" i="3" a="1"/>
  <c r="I297" i="3" s="1"/>
  <c r="L297" i="3" a="1"/>
  <c r="L297" i="3" s="1"/>
  <c r="A298" i="3" a="1"/>
  <c r="A298" i="3" s="1"/>
  <c r="C298" i="3" a="1"/>
  <c r="C298" i="3" s="1"/>
  <c r="E298" i="3" a="1"/>
  <c r="E298" i="3" s="1"/>
  <c r="G298" i="3" a="1"/>
  <c r="G298" i="3" s="1"/>
  <c r="I298" i="3" a="1"/>
  <c r="I298" i="3" s="1"/>
  <c r="L298" i="3" a="1"/>
  <c r="L298" i="3" s="1"/>
  <c r="A299" i="3" a="1"/>
  <c r="A299" i="3" s="1"/>
  <c r="C299" i="3" a="1"/>
  <c r="C299" i="3" s="1"/>
  <c r="E299" i="3" a="1"/>
  <c r="E299" i="3" s="1"/>
  <c r="G299" i="3" a="1"/>
  <c r="G299" i="3" s="1"/>
  <c r="I299" i="3" a="1"/>
  <c r="I299" i="3" s="1"/>
  <c r="M299" i="3" a="1"/>
  <c r="M299" i="3" s="1"/>
  <c r="B300" i="3" a="1"/>
  <c r="B300" i="3" s="1"/>
  <c r="D300" i="3" a="1"/>
  <c r="D300" i="3" s="1"/>
  <c r="F300" i="3" a="1"/>
  <c r="F300" i="3" s="1"/>
  <c r="H300" i="3" a="1"/>
  <c r="H300" i="3" s="1"/>
  <c r="K300" i="3" a="1"/>
  <c r="K300" i="3" s="1"/>
  <c r="M300" i="3" a="1"/>
  <c r="M300" i="3" s="1"/>
  <c r="B301" i="3" a="1"/>
  <c r="B301" i="3" s="1"/>
  <c r="D301" i="3" a="1"/>
  <c r="D301" i="3" s="1"/>
  <c r="F301" i="3" a="1"/>
  <c r="F301" i="3" s="1"/>
  <c r="H301" i="3" a="1"/>
  <c r="H301" i="3" s="1"/>
  <c r="K301" i="3" a="1"/>
  <c r="K301" i="3" s="1"/>
  <c r="M301" i="3" a="1"/>
  <c r="M301" i="3" s="1"/>
  <c r="B302" i="3" a="1"/>
  <c r="B302" i="3" s="1"/>
  <c r="D302" i="3" a="1"/>
  <c r="D302" i="3" s="1"/>
  <c r="E302" i="3" a="1"/>
  <c r="E302" i="3" s="1"/>
  <c r="G302" i="3" a="1"/>
  <c r="G302" i="3" s="1"/>
  <c r="I302" i="3" a="1"/>
  <c r="I302" i="3" s="1"/>
  <c r="L302" i="3" a="1"/>
  <c r="L302" i="3" s="1"/>
  <c r="A303" i="3" a="1"/>
  <c r="A303" i="3" s="1"/>
  <c r="C303" i="3" a="1"/>
  <c r="C303" i="3" s="1"/>
  <c r="E303" i="3" a="1"/>
  <c r="E303" i="3" s="1"/>
  <c r="G303" i="3" a="1"/>
  <c r="G303" i="3" s="1"/>
  <c r="I303" i="3" a="1"/>
  <c r="I303" i="3" s="1"/>
  <c r="L303" i="3" a="1"/>
  <c r="L303" i="3" s="1"/>
  <c r="A304" i="3" a="1"/>
  <c r="A304" i="3" s="1"/>
  <c r="C304" i="3" a="1"/>
  <c r="C304" i="3" s="1"/>
  <c r="E304" i="3" a="1"/>
  <c r="E304" i="3" s="1"/>
  <c r="G304" i="3" a="1"/>
  <c r="G304" i="3" s="1"/>
  <c r="I304" i="3" a="1"/>
  <c r="I304" i="3" s="1"/>
  <c r="L304" i="3" a="1"/>
  <c r="L304" i="3" s="1"/>
  <c r="A305" i="3" a="1"/>
  <c r="A305" i="3" s="1"/>
  <c r="C305" i="3" a="1"/>
  <c r="C305" i="3" s="1"/>
  <c r="E305" i="3" a="1"/>
  <c r="E305" i="3" s="1"/>
  <c r="G305" i="3" a="1"/>
  <c r="G305" i="3" s="1"/>
  <c r="I305" i="3" a="1"/>
  <c r="I305" i="3" s="1"/>
  <c r="L305" i="3" a="1"/>
  <c r="L305" i="3" s="1"/>
  <c r="A306" i="3" a="1"/>
  <c r="A306" i="3" s="1"/>
  <c r="C306" i="3" a="1"/>
  <c r="C306" i="3" s="1"/>
  <c r="E306" i="3" a="1"/>
  <c r="E306" i="3" s="1"/>
  <c r="G306" i="3" a="1"/>
  <c r="G306" i="3" s="1"/>
  <c r="I306" i="3" a="1"/>
  <c r="I306" i="3" s="1"/>
  <c r="L306" i="3" a="1"/>
  <c r="L306" i="3" s="1"/>
  <c r="A307" i="3" a="1"/>
  <c r="A307" i="3" s="1"/>
  <c r="C307" i="3" a="1"/>
  <c r="C307" i="3" s="1"/>
  <c r="E307" i="3" a="1"/>
  <c r="E307" i="3" s="1"/>
  <c r="H307" i="3" a="1"/>
  <c r="H307" i="3" s="1"/>
  <c r="K307" i="3" a="1"/>
  <c r="K307" i="3" s="1"/>
  <c r="M307" i="3" a="1"/>
  <c r="M307" i="3" s="1"/>
  <c r="B308" i="3" a="1"/>
  <c r="B308" i="3" s="1"/>
  <c r="C308" i="3" a="1"/>
  <c r="C308" i="3" s="1"/>
  <c r="D308" i="3" a="1"/>
  <c r="D308" i="3" s="1"/>
  <c r="E308" i="3" a="1"/>
  <c r="E308" i="3" s="1"/>
  <c r="F308" i="3" a="1"/>
  <c r="F308" i="3" s="1"/>
  <c r="G308" i="3" a="1"/>
  <c r="G308" i="3" s="1"/>
  <c r="H308" i="3" a="1"/>
  <c r="H308" i="3" s="1"/>
  <c r="I308" i="3" a="1"/>
  <c r="I308" i="3" s="1"/>
  <c r="K308" i="3" a="1"/>
  <c r="K308" i="3" s="1"/>
  <c r="M308" i="3" a="1"/>
  <c r="M308" i="3" s="1"/>
  <c r="B309" i="3" a="1"/>
  <c r="B309" i="3" s="1"/>
  <c r="D309" i="3" a="1"/>
  <c r="D309" i="3" s="1"/>
  <c r="F309" i="3" a="1"/>
  <c r="F309" i="3" s="1"/>
  <c r="H309" i="3" a="1"/>
  <c r="H309" i="3" s="1"/>
  <c r="K309" i="3" a="1"/>
  <c r="K309" i="3" s="1"/>
  <c r="M309" i="3" a="1"/>
  <c r="M309" i="3" s="1"/>
  <c r="B310" i="3" a="1"/>
  <c r="B310" i="3" s="1"/>
  <c r="D310" i="3" a="1"/>
  <c r="D310" i="3" s="1"/>
  <c r="F310" i="3" a="1"/>
  <c r="F310" i="3" s="1"/>
  <c r="H310" i="3" a="1"/>
  <c r="H310" i="3" s="1"/>
  <c r="K310" i="3" a="1"/>
  <c r="K310" i="3" s="1"/>
  <c r="M310" i="3" a="1"/>
  <c r="M310" i="3" s="1"/>
  <c r="B311" i="3" a="1"/>
  <c r="B311" i="3" s="1"/>
  <c r="D311" i="3" a="1"/>
  <c r="D311" i="3" s="1"/>
  <c r="F311" i="3" a="1"/>
  <c r="F311" i="3" s="1"/>
  <c r="H311" i="3" a="1"/>
  <c r="H311" i="3" s="1"/>
  <c r="K311" i="3" a="1"/>
  <c r="K311" i="3" s="1"/>
  <c r="M311" i="3" a="1"/>
  <c r="M311" i="3" s="1"/>
  <c r="B312" i="3" a="1"/>
  <c r="B312" i="3" s="1"/>
  <c r="D312" i="3" a="1"/>
  <c r="D312" i="3" s="1"/>
  <c r="F312" i="3" a="1"/>
  <c r="F312" i="3" s="1"/>
  <c r="H312" i="3" a="1"/>
  <c r="H312" i="3" s="1"/>
  <c r="K312" i="3" a="1"/>
  <c r="K312" i="3" s="1"/>
  <c r="M312" i="3" a="1"/>
  <c r="M312" i="3" s="1"/>
  <c r="B313" i="3" a="1"/>
  <c r="B313" i="3" s="1"/>
  <c r="D313" i="3" a="1"/>
  <c r="D313" i="3" s="1"/>
  <c r="F313" i="3" a="1"/>
  <c r="F313" i="3" s="1"/>
  <c r="H313" i="3" a="1"/>
  <c r="H313" i="3" s="1"/>
  <c r="K313" i="3" a="1"/>
  <c r="K313" i="3" s="1"/>
  <c r="M313" i="3" a="1"/>
  <c r="M313" i="3" s="1"/>
  <c r="B314" i="3" a="1"/>
  <c r="B314" i="3" s="1"/>
  <c r="D314" i="3" a="1"/>
  <c r="D314" i="3" s="1"/>
  <c r="F314" i="3" a="1"/>
  <c r="F314" i="3" s="1"/>
  <c r="H314" i="3" a="1"/>
  <c r="H314" i="3" s="1"/>
  <c r="K314" i="3" a="1"/>
  <c r="K314" i="3" s="1"/>
  <c r="M314" i="3" a="1"/>
  <c r="M314" i="3" s="1"/>
  <c r="B315" i="3" a="1"/>
  <c r="B315" i="3" s="1"/>
  <c r="D315" i="3" a="1"/>
  <c r="D315" i="3" s="1"/>
  <c r="F315" i="3" a="1"/>
  <c r="F315" i="3" s="1"/>
  <c r="H315" i="3" a="1"/>
  <c r="H315" i="3" s="1"/>
  <c r="K315" i="3" a="1"/>
  <c r="K315" i="3" s="1"/>
  <c r="M315" i="3" a="1"/>
  <c r="M315" i="3" s="1"/>
  <c r="B316" i="3" a="1"/>
  <c r="B316" i="3" s="1"/>
  <c r="D316" i="3" a="1"/>
  <c r="D316" i="3" s="1"/>
  <c r="F316" i="3" a="1"/>
  <c r="F316" i="3" s="1"/>
  <c r="H316" i="3" a="1"/>
  <c r="H316" i="3" s="1"/>
  <c r="K316" i="3" a="1"/>
  <c r="K316" i="3" s="1"/>
  <c r="M316" i="3" a="1"/>
  <c r="M316" i="3" s="1"/>
  <c r="B317" i="3" a="1"/>
  <c r="B317" i="3" s="1"/>
  <c r="D317" i="3" a="1"/>
  <c r="D317" i="3" s="1"/>
  <c r="F317" i="3" a="1"/>
  <c r="F317" i="3" s="1"/>
  <c r="H317" i="3" a="1"/>
  <c r="H317" i="3" s="1"/>
  <c r="K317" i="3" a="1"/>
  <c r="K317" i="3" s="1"/>
  <c r="M317" i="3" a="1"/>
  <c r="M317" i="3" s="1"/>
  <c r="B318" i="3" a="1"/>
  <c r="B318" i="3" s="1"/>
  <c r="D318" i="3" a="1"/>
  <c r="D318" i="3" s="1"/>
  <c r="F318" i="3" a="1"/>
  <c r="F318" i="3" s="1"/>
  <c r="H318" i="3" a="1"/>
  <c r="H318" i="3" s="1"/>
  <c r="K318" i="3" a="1"/>
  <c r="K318" i="3" s="1"/>
  <c r="M318" i="3" a="1"/>
  <c r="M318" i="3" s="1"/>
  <c r="B319" i="3" a="1"/>
  <c r="B319" i="3" s="1"/>
  <c r="D319" i="3" a="1"/>
  <c r="D319" i="3" s="1"/>
  <c r="F319" i="3" a="1"/>
  <c r="F319" i="3" s="1"/>
  <c r="H319" i="3" a="1"/>
  <c r="H319" i="3" s="1"/>
  <c r="K319" i="3" a="1"/>
  <c r="K319" i="3" s="1"/>
  <c r="M319" i="3" a="1"/>
  <c r="M319" i="3" s="1"/>
  <c r="B320" i="3" a="1"/>
  <c r="B320" i="3" s="1"/>
  <c r="D320" i="3" a="1"/>
  <c r="D320" i="3" s="1"/>
  <c r="F320" i="3" a="1"/>
  <c r="F320" i="3" s="1"/>
  <c r="H320" i="3" a="1"/>
  <c r="H320" i="3" s="1"/>
  <c r="K320" i="3" a="1"/>
  <c r="K320" i="3" s="1"/>
  <c r="M320" i="3" a="1"/>
  <c r="M320" i="3" s="1"/>
  <c r="B321" i="3" a="1"/>
  <c r="B321" i="3" s="1"/>
  <c r="D321" i="3" a="1"/>
  <c r="D321" i="3" s="1"/>
  <c r="F321" i="3" a="1"/>
  <c r="F321" i="3" s="1"/>
  <c r="H321" i="3" a="1"/>
  <c r="H321" i="3" s="1"/>
  <c r="I321" i="3" a="1"/>
  <c r="I321" i="3" s="1"/>
  <c r="L321" i="3" a="1"/>
  <c r="L321" i="3" s="1"/>
  <c r="B322" i="3" a="1"/>
  <c r="B322" i="3" s="1"/>
  <c r="D322" i="3" a="1"/>
  <c r="D322" i="3" s="1"/>
  <c r="F322" i="3" a="1"/>
  <c r="F322" i="3" s="1"/>
  <c r="H322" i="3" a="1"/>
  <c r="H322" i="3" s="1"/>
  <c r="I322" i="3" a="1"/>
  <c r="I322" i="3" s="1"/>
  <c r="L322" i="3" a="1"/>
  <c r="L322" i="3" s="1"/>
  <c r="A323" i="3" a="1"/>
  <c r="A323" i="3" s="1"/>
  <c r="C323" i="3" a="1"/>
  <c r="C323" i="3" s="1"/>
  <c r="E323" i="3" a="1"/>
  <c r="E323" i="3" s="1"/>
  <c r="G323" i="3" a="1"/>
  <c r="G323" i="3" s="1"/>
  <c r="K323" i="3" a="1"/>
  <c r="K323" i="3" s="1"/>
  <c r="M323" i="3" a="1"/>
  <c r="M323" i="3" s="1"/>
  <c r="B324" i="3" a="1"/>
  <c r="B324" i="3" s="1"/>
  <c r="D324" i="3" a="1"/>
  <c r="D324" i="3" s="1"/>
  <c r="F324" i="3" a="1"/>
  <c r="F324" i="3" s="1"/>
  <c r="H324" i="3" a="1"/>
  <c r="H324" i="3" s="1"/>
  <c r="K324" i="3" a="1"/>
  <c r="K324" i="3" s="1"/>
  <c r="L324" i="3" a="1"/>
  <c r="L324" i="3" s="1"/>
  <c r="A325" i="3" a="1"/>
  <c r="A325" i="3" s="1"/>
  <c r="C325" i="3" a="1"/>
  <c r="C325" i="3" s="1"/>
  <c r="E325" i="3" a="1"/>
  <c r="E325" i="3" s="1"/>
  <c r="F325" i="3" a="1"/>
  <c r="F325" i="3" s="1"/>
  <c r="G325" i="3" a="1"/>
  <c r="G325" i="3" s="1"/>
  <c r="H325" i="3" a="1"/>
  <c r="H325" i="3" s="1"/>
  <c r="K325" i="3" a="1"/>
  <c r="K325" i="3" s="1"/>
  <c r="M325" i="3" a="1"/>
  <c r="M325" i="3" s="1"/>
  <c r="B326" i="3" a="1"/>
  <c r="B326" i="3" s="1"/>
  <c r="D326" i="3" a="1"/>
  <c r="D326" i="3" s="1"/>
  <c r="F326" i="3" a="1"/>
  <c r="F326" i="3" s="1"/>
  <c r="H326" i="3" a="1"/>
  <c r="H326" i="3" s="1"/>
  <c r="K326" i="3" a="1"/>
  <c r="K326" i="3" s="1"/>
  <c r="M326" i="3" a="1"/>
  <c r="M326" i="3" s="1"/>
  <c r="A327" i="3" a="1"/>
  <c r="A327" i="3" s="1"/>
  <c r="C327" i="3" a="1"/>
  <c r="C327" i="3" s="1"/>
  <c r="F327" i="3" a="1"/>
  <c r="F327" i="3" s="1"/>
  <c r="H327" i="3" a="1"/>
  <c r="H327" i="3" s="1"/>
  <c r="K327" i="3" a="1"/>
  <c r="K327" i="3" s="1"/>
  <c r="M327" i="3" a="1"/>
  <c r="M327" i="3" s="1"/>
  <c r="B328" i="3" a="1"/>
  <c r="B328" i="3" s="1"/>
  <c r="D328" i="3" a="1"/>
  <c r="D328" i="3" s="1"/>
  <c r="F328" i="3" a="1"/>
  <c r="F328" i="3" s="1"/>
  <c r="H328" i="3" a="1"/>
  <c r="H328" i="3" s="1"/>
  <c r="K328" i="3" a="1"/>
  <c r="K328" i="3" s="1"/>
  <c r="M328" i="3" a="1"/>
  <c r="M328" i="3" s="1"/>
  <c r="A329" i="3" a="1"/>
  <c r="A329" i="3" s="1"/>
  <c r="C329" i="3" a="1"/>
  <c r="C329" i="3" s="1"/>
  <c r="E329" i="3" a="1"/>
  <c r="E329" i="3" s="1"/>
  <c r="G329" i="3" a="1"/>
  <c r="G329" i="3" s="1"/>
  <c r="I329" i="3" a="1"/>
  <c r="I329" i="3" s="1"/>
  <c r="L329" i="3" a="1"/>
  <c r="L329" i="3" s="1"/>
  <c r="A330" i="3" a="1"/>
  <c r="A330" i="3" s="1"/>
  <c r="C330" i="3" a="1"/>
  <c r="C330" i="3" s="1"/>
  <c r="E330" i="3" a="1"/>
  <c r="E330" i="3" s="1"/>
  <c r="H330" i="3" a="1"/>
  <c r="H330" i="3" s="1"/>
  <c r="K330" i="3" a="1"/>
  <c r="K330" i="3" s="1"/>
  <c r="M330" i="3" a="1"/>
  <c r="M330" i="3" s="1"/>
  <c r="B331" i="3" a="1"/>
  <c r="B331" i="3" s="1"/>
  <c r="D331" i="3" a="1"/>
  <c r="D331" i="3" s="1"/>
  <c r="E331" i="3" a="1"/>
  <c r="E331" i="3" s="1"/>
  <c r="G331" i="3" a="1"/>
  <c r="G331" i="3" s="1"/>
  <c r="K331" i="3" a="1"/>
  <c r="K331" i="3" s="1"/>
  <c r="M331" i="3" a="1"/>
  <c r="M331" i="3" s="1"/>
  <c r="B332" i="3" a="1"/>
  <c r="B332" i="3" s="1"/>
  <c r="D332" i="3" a="1"/>
  <c r="D332" i="3" s="1"/>
  <c r="F332" i="3" a="1"/>
  <c r="F332" i="3" s="1"/>
  <c r="H332" i="3" a="1"/>
  <c r="H332" i="3" s="1"/>
  <c r="K332" i="3" a="1"/>
  <c r="K332" i="3" s="1"/>
  <c r="M332" i="3" a="1"/>
  <c r="M332" i="3" s="1"/>
  <c r="B333" i="3" a="1"/>
  <c r="B333" i="3" s="1"/>
  <c r="D333" i="3" a="1"/>
  <c r="D333" i="3" s="1"/>
  <c r="F333" i="3" a="1"/>
  <c r="F333" i="3" s="1"/>
  <c r="H333" i="3" a="1"/>
  <c r="H333" i="3" s="1"/>
  <c r="K333" i="3" a="1"/>
  <c r="K333" i="3" s="1"/>
  <c r="M333" i="3" a="1"/>
  <c r="M333" i="3" s="1"/>
  <c r="B334" i="3" a="1"/>
  <c r="B334" i="3" s="1"/>
  <c r="D334" i="3" a="1"/>
  <c r="D334" i="3" s="1"/>
  <c r="F334" i="3" a="1"/>
  <c r="F334" i="3" s="1"/>
  <c r="H334" i="3" a="1"/>
  <c r="H334" i="3" s="1"/>
  <c r="K334" i="3" a="1"/>
  <c r="K334" i="3" s="1"/>
  <c r="M334" i="3" a="1"/>
  <c r="M334" i="3" s="1"/>
  <c r="B335" i="3" a="1"/>
  <c r="B335" i="3" s="1"/>
  <c r="D335" i="3" a="1"/>
  <c r="D335" i="3" s="1"/>
  <c r="F335" i="3" a="1"/>
  <c r="F335" i="3" s="1"/>
  <c r="H335" i="3" a="1"/>
  <c r="H335" i="3" s="1"/>
  <c r="K335" i="3" a="1"/>
  <c r="K335" i="3" s="1"/>
  <c r="M335" i="3" a="1"/>
  <c r="M335" i="3" s="1"/>
  <c r="B336" i="3" a="1"/>
  <c r="B336" i="3" s="1"/>
  <c r="D336" i="3" a="1"/>
  <c r="D336" i="3" s="1"/>
  <c r="F336" i="3" a="1"/>
  <c r="F336" i="3" s="1"/>
  <c r="H336" i="3" a="1"/>
  <c r="H336" i="3" s="1"/>
  <c r="K336" i="3" a="1"/>
  <c r="K336" i="3" s="1"/>
  <c r="M336" i="3" a="1"/>
  <c r="M336" i="3" s="1"/>
  <c r="B337" i="3" a="1"/>
  <c r="B337" i="3" s="1"/>
  <c r="C337" i="3" a="1"/>
  <c r="C337" i="3" s="1"/>
  <c r="E337" i="3" a="1"/>
  <c r="E337" i="3" s="1"/>
  <c r="G337" i="3" a="1"/>
  <c r="G337" i="3" s="1"/>
  <c r="H337" i="3" a="1"/>
  <c r="H337" i="3" s="1"/>
  <c r="I337" i="3" a="1"/>
  <c r="I337" i="3" s="1"/>
  <c r="K337" i="3" a="1"/>
  <c r="K337" i="3" s="1"/>
  <c r="L337" i="3" a="1"/>
  <c r="L337" i="3" s="1"/>
  <c r="M337" i="3" a="1"/>
  <c r="M337" i="3" s="1"/>
  <c r="A338" i="3" a="1"/>
  <c r="A338" i="3" s="1"/>
  <c r="B338" i="3" a="1"/>
  <c r="B338" i="3" s="1"/>
  <c r="C338" i="3" a="1"/>
  <c r="C338" i="3" s="1"/>
  <c r="D338" i="3" a="1"/>
  <c r="D338" i="3" s="1"/>
  <c r="E338" i="3" a="1"/>
  <c r="E338" i="3" s="1"/>
  <c r="F338" i="3" a="1"/>
  <c r="F338" i="3" s="1"/>
  <c r="G338" i="3" a="1"/>
  <c r="G338" i="3" s="1"/>
  <c r="H338" i="3" a="1"/>
  <c r="H338" i="3" s="1"/>
  <c r="I338" i="3" a="1"/>
  <c r="I338" i="3" s="1"/>
  <c r="L338" i="3" a="1"/>
  <c r="L338" i="3" s="1"/>
  <c r="A339" i="3" a="1"/>
  <c r="A339" i="3" s="1"/>
  <c r="C339" i="3" a="1"/>
  <c r="C339" i="3" s="1"/>
  <c r="E339" i="3" a="1"/>
  <c r="E339" i="3" s="1"/>
  <c r="G339" i="3" a="1"/>
  <c r="G339" i="3" s="1"/>
  <c r="I339" i="3" a="1"/>
  <c r="I339" i="3" s="1"/>
  <c r="L339" i="3" a="1"/>
  <c r="L339" i="3" s="1"/>
  <c r="A340" i="3" a="1"/>
  <c r="A340" i="3" s="1"/>
  <c r="C340" i="3" a="1"/>
  <c r="C340" i="3" s="1"/>
  <c r="E340" i="3" a="1"/>
  <c r="E340" i="3" s="1"/>
  <c r="G340" i="3" a="1"/>
  <c r="G340" i="3" s="1"/>
  <c r="I340" i="3" a="1"/>
  <c r="I340" i="3" s="1"/>
  <c r="L340" i="3" a="1"/>
  <c r="L340" i="3" s="1"/>
  <c r="A341" i="3" a="1"/>
  <c r="A341" i="3" s="1"/>
  <c r="C341" i="3" a="1"/>
  <c r="C341" i="3" s="1"/>
  <c r="E341" i="3" a="1"/>
  <c r="E341" i="3" s="1"/>
  <c r="G341" i="3" a="1"/>
  <c r="G341" i="3" s="1"/>
  <c r="I341" i="3" a="1"/>
  <c r="I341" i="3" s="1"/>
  <c r="L341" i="3" a="1"/>
  <c r="L341" i="3" s="1"/>
  <c r="A342" i="3" a="1"/>
  <c r="A342" i="3" s="1"/>
  <c r="C342" i="3" a="1"/>
  <c r="C342" i="3" s="1"/>
  <c r="E342" i="3" a="1"/>
  <c r="E342" i="3" s="1"/>
  <c r="G342" i="3" a="1"/>
  <c r="G342" i="3" s="1"/>
  <c r="I342" i="3" a="1"/>
  <c r="I342" i="3" s="1"/>
  <c r="L342" i="3" a="1"/>
  <c r="L342" i="3" s="1"/>
  <c r="A343" i="3" a="1"/>
  <c r="A343" i="3" s="1"/>
  <c r="C343" i="3" a="1"/>
  <c r="C343" i="3" s="1"/>
  <c r="E343" i="3" a="1"/>
  <c r="E343" i="3" s="1"/>
  <c r="G343" i="3" a="1"/>
  <c r="G343" i="3" s="1"/>
  <c r="I343" i="3" a="1"/>
  <c r="I343" i="3" s="1"/>
  <c r="L343" i="3" a="1"/>
  <c r="L343" i="3" s="1"/>
  <c r="A344" i="3" a="1"/>
  <c r="A344" i="3" s="1"/>
  <c r="C344" i="3" a="1"/>
  <c r="C344" i="3" s="1"/>
  <c r="E344" i="3" a="1"/>
  <c r="E344" i="3" s="1"/>
  <c r="G344" i="3" a="1"/>
  <c r="G344" i="3" s="1"/>
  <c r="I344" i="3" a="1"/>
  <c r="I344" i="3" s="1"/>
  <c r="L344" i="3" a="1"/>
  <c r="L344" i="3" s="1"/>
  <c r="A345" i="3" a="1"/>
  <c r="A345" i="3" s="1"/>
  <c r="C345" i="3" a="1"/>
  <c r="C345" i="3" s="1"/>
  <c r="E345" i="3" a="1"/>
  <c r="E345" i="3" s="1"/>
  <c r="G345" i="3" a="1"/>
  <c r="G345" i="3" s="1"/>
  <c r="H345" i="3" a="1"/>
  <c r="H345" i="3" s="1"/>
  <c r="K345" i="3" a="1"/>
  <c r="K345" i="3" s="1"/>
  <c r="M345" i="3" a="1"/>
  <c r="M345" i="3" s="1"/>
  <c r="B346" i="3" a="1"/>
  <c r="B346" i="3" s="1"/>
  <c r="D346" i="3" a="1"/>
  <c r="D346" i="3" s="1"/>
  <c r="F346" i="3" a="1"/>
  <c r="F346" i="3" s="1"/>
  <c r="G346" i="3" a="1"/>
  <c r="G346" i="3" s="1"/>
  <c r="I346" i="3" a="1"/>
  <c r="I346" i="3" s="1"/>
  <c r="L346" i="3" a="1"/>
  <c r="L346" i="3" s="1"/>
  <c r="A347" i="3" a="1"/>
  <c r="A347" i="3" s="1"/>
  <c r="C347" i="3" a="1"/>
  <c r="C347" i="3" s="1"/>
  <c r="E347" i="3" a="1"/>
  <c r="E347" i="3" s="1"/>
  <c r="G347" i="3" a="1"/>
  <c r="G347" i="3" s="1"/>
  <c r="I347" i="3" a="1"/>
  <c r="I347" i="3" s="1"/>
  <c r="L347" i="3" a="1"/>
  <c r="L347" i="3" s="1"/>
  <c r="A348" i="3" a="1"/>
  <c r="A348" i="3" s="1"/>
  <c r="B348" i="3" a="1"/>
  <c r="B348" i="3" s="1"/>
  <c r="D348" i="3" a="1"/>
  <c r="D348" i="3" s="1"/>
  <c r="E348" i="3" a="1"/>
  <c r="E348" i="3" s="1"/>
  <c r="F348" i="3" a="1"/>
  <c r="F348" i="3" s="1"/>
  <c r="G348" i="3" a="1"/>
  <c r="G348" i="3" s="1"/>
  <c r="H348" i="3" a="1"/>
  <c r="H348" i="3" s="1"/>
  <c r="I348" i="3" a="1"/>
  <c r="I348" i="3" s="1"/>
  <c r="K348" i="3" a="1"/>
  <c r="K348" i="3" s="1"/>
  <c r="L348" i="3" a="1"/>
  <c r="L348" i="3" s="1"/>
  <c r="M348" i="3" a="1"/>
  <c r="M348" i="3" s="1"/>
  <c r="A349" i="3" a="1"/>
  <c r="A349" i="3" s="1"/>
  <c r="B349" i="3" a="1"/>
  <c r="B349" i="3" s="1"/>
  <c r="C349" i="3" a="1"/>
  <c r="C349" i="3" s="1"/>
  <c r="D349" i="3" a="1"/>
  <c r="D349" i="3" s="1"/>
  <c r="E349" i="3" a="1"/>
  <c r="E349" i="3" s="1"/>
  <c r="F349" i="3" a="1"/>
  <c r="F349" i="3" s="1"/>
  <c r="G349" i="3" a="1"/>
  <c r="G349" i="3" s="1"/>
  <c r="H349" i="3" a="1"/>
  <c r="H349" i="3" s="1"/>
  <c r="I349" i="3" a="1"/>
  <c r="I349" i="3" s="1"/>
  <c r="L349" i="3" a="1"/>
  <c r="L349" i="3" s="1"/>
  <c r="A350" i="3" a="1"/>
  <c r="A350" i="3" s="1"/>
  <c r="C350" i="3" a="1"/>
  <c r="C350" i="3" s="1"/>
  <c r="E350" i="3" a="1"/>
  <c r="E350" i="3" s="1"/>
  <c r="G350" i="3" a="1"/>
  <c r="G350" i="3" s="1"/>
  <c r="I350" i="3" a="1"/>
  <c r="I350" i="3" s="1"/>
  <c r="L350" i="3" a="1"/>
  <c r="L350" i="3" s="1"/>
  <c r="A351" i="3" a="1"/>
  <c r="A351" i="3" s="1"/>
  <c r="C351" i="3" a="1"/>
  <c r="C351" i="3" s="1"/>
  <c r="E351" i="3" a="1"/>
  <c r="E351" i="3" s="1"/>
  <c r="G351" i="3" a="1"/>
  <c r="G351" i="3" s="1"/>
  <c r="I351" i="3" a="1"/>
  <c r="I351" i="3" s="1"/>
  <c r="L351" i="3" a="1"/>
  <c r="L351" i="3" s="1"/>
  <c r="A352" i="3" a="1"/>
  <c r="A352" i="3" s="1"/>
  <c r="C352" i="3" a="1"/>
  <c r="C352" i="3" s="1"/>
  <c r="E352" i="3" a="1"/>
  <c r="E352" i="3" s="1"/>
  <c r="G352" i="3" a="1"/>
  <c r="G352" i="3" s="1"/>
  <c r="I352" i="3" a="1"/>
  <c r="I352" i="3" s="1"/>
  <c r="L352" i="3" a="1"/>
  <c r="L352" i="3" s="1"/>
  <c r="A353" i="3" a="1"/>
  <c r="A353" i="3" s="1"/>
  <c r="C353" i="3" a="1"/>
  <c r="C353" i="3" s="1"/>
  <c r="E353" i="3" a="1"/>
  <c r="E353" i="3" s="1"/>
  <c r="G353" i="3" a="1"/>
  <c r="G353" i="3" s="1"/>
  <c r="H353" i="3" a="1"/>
  <c r="H353" i="3" s="1"/>
  <c r="K353" i="3" a="1"/>
  <c r="K353" i="3" s="1"/>
  <c r="M353" i="3" a="1"/>
  <c r="M353" i="3" s="1"/>
  <c r="B354" i="3" a="1"/>
  <c r="B354" i="3" s="1"/>
  <c r="D354" i="3" a="1"/>
  <c r="D354" i="3" s="1"/>
  <c r="F354" i="3" a="1"/>
  <c r="F354" i="3" s="1"/>
  <c r="G354" i="3" a="1"/>
  <c r="G354" i="3" s="1"/>
  <c r="H354" i="3" a="1"/>
  <c r="H354" i="3" s="1"/>
  <c r="I354" i="3" a="1"/>
  <c r="I354" i="3" s="1"/>
  <c r="K354" i="3" a="1"/>
  <c r="K354" i="3" s="1"/>
  <c r="L354" i="3" a="1"/>
  <c r="L354" i="3" s="1"/>
  <c r="M354" i="3" a="1"/>
  <c r="M354" i="3" s="1"/>
  <c r="A355" i="3" a="1"/>
  <c r="A355" i="3" s="1"/>
  <c r="B355" i="3" a="1"/>
  <c r="B355" i="3" s="1"/>
  <c r="C355" i="3" a="1"/>
  <c r="C355" i="3" s="1"/>
  <c r="D355" i="3" a="1"/>
  <c r="D355" i="3" s="1"/>
  <c r="E355" i="3" a="1"/>
  <c r="E355" i="3" s="1"/>
  <c r="F355" i="3" a="1"/>
  <c r="F355" i="3" s="1"/>
  <c r="H355" i="3" a="1"/>
  <c r="H355" i="3" s="1"/>
  <c r="K355" i="3" a="1"/>
  <c r="K355" i="3" s="1"/>
  <c r="M355" i="3" a="1"/>
  <c r="M355" i="3" s="1"/>
  <c r="B356" i="3" a="1"/>
  <c r="B356" i="3" s="1"/>
  <c r="D356" i="3" a="1"/>
  <c r="D356" i="3" s="1"/>
  <c r="F356" i="3" a="1"/>
  <c r="F356" i="3" s="1"/>
  <c r="H356" i="3" a="1"/>
  <c r="H356" i="3" s="1"/>
  <c r="K356" i="3" a="1"/>
  <c r="K356" i="3" s="1"/>
  <c r="M356" i="3" a="1"/>
  <c r="M356" i="3" s="1"/>
  <c r="B357" i="3" a="1"/>
  <c r="B357" i="3" s="1"/>
  <c r="D357" i="3" a="1"/>
  <c r="D357" i="3" s="1"/>
  <c r="E357" i="3" a="1"/>
  <c r="E357" i="3" s="1"/>
  <c r="G357" i="3" a="1"/>
  <c r="G357" i="3" s="1"/>
  <c r="I357" i="3" a="1"/>
  <c r="I357" i="3" s="1"/>
  <c r="L357" i="3" a="1"/>
  <c r="L357" i="3" s="1"/>
  <c r="A358" i="3" a="1"/>
  <c r="A358" i="3" s="1"/>
  <c r="C358" i="3" a="1"/>
  <c r="C358" i="3" s="1"/>
  <c r="E358" i="3" a="1"/>
  <c r="E358" i="3" s="1"/>
  <c r="G358" i="3" a="1"/>
  <c r="G358" i="3" s="1"/>
  <c r="I358" i="3" a="1"/>
  <c r="I358" i="3" s="1"/>
  <c r="L358" i="3" a="1"/>
  <c r="L358" i="3" s="1"/>
  <c r="A359" i="3" a="1"/>
  <c r="A359" i="3" s="1"/>
  <c r="C359" i="3" a="1"/>
  <c r="C359" i="3" s="1"/>
  <c r="E359" i="3" a="1"/>
  <c r="E359" i="3" s="1"/>
  <c r="G359" i="3" a="1"/>
  <c r="G359" i="3" s="1"/>
  <c r="I359" i="3" a="1"/>
  <c r="I359" i="3" s="1"/>
  <c r="L359" i="3" a="1"/>
  <c r="L359" i="3" s="1"/>
  <c r="A360" i="3" a="1"/>
  <c r="A360" i="3" s="1"/>
  <c r="C360" i="3" a="1"/>
  <c r="C360" i="3" s="1"/>
  <c r="E360" i="3" a="1"/>
  <c r="E360" i="3" s="1"/>
  <c r="G360" i="3" a="1"/>
  <c r="G360" i="3" s="1"/>
  <c r="I360" i="3" a="1"/>
  <c r="I360" i="3" s="1"/>
  <c r="L360" i="3" a="1"/>
  <c r="L360" i="3" s="1"/>
  <c r="A361" i="3" a="1"/>
  <c r="A361" i="3" s="1"/>
  <c r="C361" i="3" a="1"/>
  <c r="C361" i="3" s="1"/>
  <c r="F361" i="3" a="1"/>
  <c r="F361" i="3" s="1"/>
  <c r="H361" i="3" a="1"/>
  <c r="H361" i="3" s="1"/>
  <c r="I361" i="3" a="1"/>
  <c r="I361" i="3" s="1"/>
  <c r="L361" i="3" a="1"/>
  <c r="L361" i="3" s="1"/>
  <c r="A362" i="3" a="1"/>
  <c r="A362" i="3" s="1"/>
  <c r="D362" i="3" a="1"/>
  <c r="D362" i="3" s="1"/>
  <c r="F362" i="3" a="1"/>
  <c r="F362" i="3" s="1"/>
  <c r="H362" i="3" a="1"/>
  <c r="H362" i="3" s="1"/>
  <c r="I362" i="3" a="1"/>
  <c r="I362" i="3" s="1"/>
  <c r="K362" i="3" a="1"/>
  <c r="K362" i="3" s="1"/>
  <c r="L362" i="3" a="1"/>
  <c r="L362" i="3" s="1"/>
  <c r="M362" i="3" a="1"/>
  <c r="M362" i="3" s="1"/>
  <c r="B363" i="3" a="1"/>
  <c r="B363" i="3" s="1"/>
  <c r="D363" i="3" a="1"/>
  <c r="D363" i="3" s="1"/>
  <c r="F363" i="3" a="1"/>
  <c r="F363" i="3" s="1"/>
  <c r="H363" i="3" a="1"/>
  <c r="H363" i="3" s="1"/>
  <c r="L363" i="3" a="1"/>
  <c r="L363" i="3" s="1"/>
  <c r="A364" i="3" a="1"/>
  <c r="A364" i="3" s="1"/>
  <c r="C364" i="3" a="1"/>
  <c r="C364" i="3" s="1"/>
  <c r="E364" i="3" a="1"/>
  <c r="E364" i="3" s="1"/>
  <c r="G364" i="3" a="1"/>
  <c r="G364" i="3" s="1"/>
  <c r="I364" i="3" a="1"/>
  <c r="I364" i="3" s="1"/>
  <c r="L364" i="3" a="1"/>
  <c r="L364" i="3" s="1"/>
  <c r="A365" i="3" a="1"/>
  <c r="A365" i="3" s="1"/>
  <c r="C365" i="3" a="1"/>
  <c r="C365" i="3" s="1"/>
  <c r="E365" i="3" a="1"/>
  <c r="E365" i="3" s="1"/>
  <c r="G365" i="3" a="1"/>
  <c r="G365" i="3" s="1"/>
  <c r="I365" i="3" a="1"/>
  <c r="I365" i="3" s="1"/>
  <c r="L365" i="3" a="1"/>
  <c r="L365" i="3" s="1"/>
  <c r="A366" i="3" a="1"/>
  <c r="A366" i="3" s="1"/>
  <c r="C366" i="3" a="1"/>
  <c r="C366" i="3" s="1"/>
  <c r="E366" i="3" a="1"/>
  <c r="E366" i="3" s="1"/>
  <c r="G366" i="3" a="1"/>
  <c r="G366" i="3" s="1"/>
  <c r="I366" i="3" a="1"/>
  <c r="I366" i="3" s="1"/>
  <c r="L366" i="3" a="1"/>
  <c r="L366" i="3" s="1"/>
  <c r="A367" i="3" a="1"/>
  <c r="A367" i="3" s="1"/>
  <c r="C367" i="3" a="1"/>
  <c r="C367" i="3" s="1"/>
  <c r="E367" i="3" a="1"/>
  <c r="E367" i="3" s="1"/>
  <c r="G367" i="3" a="1"/>
  <c r="G367" i="3" s="1"/>
  <c r="K367" i="3" a="1"/>
  <c r="K367" i="3" s="1"/>
  <c r="M367" i="3" a="1"/>
  <c r="M367" i="3" s="1"/>
  <c r="A368" i="3" a="1"/>
  <c r="A368" i="3" s="1"/>
  <c r="D368" i="3" a="1"/>
  <c r="D368" i="3" s="1"/>
  <c r="F368" i="3" a="1"/>
  <c r="F368" i="3" s="1"/>
  <c r="H368" i="3" a="1"/>
  <c r="H368" i="3" s="1"/>
  <c r="K368" i="3" a="1"/>
  <c r="K368" i="3" s="1"/>
  <c r="M368" i="3" a="1"/>
  <c r="M368" i="3" s="1"/>
  <c r="B369" i="3" a="1"/>
  <c r="B369" i="3" s="1"/>
  <c r="D369" i="3" a="1"/>
  <c r="D369" i="3" s="1"/>
  <c r="F369" i="3" a="1"/>
  <c r="F369" i="3" s="1"/>
  <c r="G369" i="3" a="1"/>
  <c r="G369" i="3" s="1"/>
  <c r="I369" i="3" a="1"/>
  <c r="I369" i="3" s="1"/>
  <c r="K369" i="3" a="1"/>
  <c r="K369" i="3" s="1"/>
  <c r="M369" i="3" a="1"/>
  <c r="M369" i="3" s="1"/>
  <c r="A370" i="3" a="1"/>
  <c r="A370" i="3" s="1"/>
  <c r="B370" i="3" a="1"/>
  <c r="B370" i="3" s="1"/>
  <c r="D370" i="3" a="1"/>
  <c r="D370" i="3" s="1"/>
  <c r="E370" i="3" a="1"/>
  <c r="E370" i="3" s="1"/>
  <c r="F370" i="3" a="1"/>
  <c r="F370" i="3" s="1"/>
  <c r="G370" i="3" a="1"/>
  <c r="G370" i="3" s="1"/>
  <c r="H370" i="3" a="1"/>
  <c r="H370" i="3" s="1"/>
  <c r="I370" i="3" a="1"/>
  <c r="I370" i="3" s="1"/>
  <c r="K370" i="3" a="1"/>
  <c r="K370" i="3" s="1"/>
  <c r="L370" i="3" a="1"/>
  <c r="L370" i="3" s="1"/>
  <c r="M370" i="3" a="1"/>
  <c r="M370" i="3" s="1"/>
  <c r="A371" i="3" a="1"/>
  <c r="A371" i="3" s="1"/>
  <c r="B371" i="3" a="1"/>
  <c r="B371" i="3" s="1"/>
  <c r="C371" i="3" a="1"/>
  <c r="C371" i="3" s="1"/>
  <c r="D371" i="3" a="1"/>
  <c r="D371" i="3" s="1"/>
  <c r="E371" i="3" a="1"/>
  <c r="E371" i="3" s="1"/>
  <c r="F371" i="3" a="1"/>
  <c r="F371" i="3" s="1"/>
  <c r="G371" i="3" a="1"/>
  <c r="G371" i="3" s="1"/>
  <c r="H371" i="3" a="1"/>
  <c r="H371" i="3" s="1"/>
  <c r="I371" i="3" a="1"/>
  <c r="I371" i="3" s="1"/>
  <c r="K371" i="3" a="1"/>
  <c r="K371" i="3" s="1"/>
  <c r="L371" i="3" a="1"/>
  <c r="L371" i="3" s="1"/>
  <c r="M371" i="3" a="1"/>
  <c r="M371" i="3" s="1"/>
  <c r="A372" i="3" a="1"/>
  <c r="A372" i="3" s="1"/>
  <c r="B372" i="3" a="1"/>
  <c r="B372" i="3" s="1"/>
  <c r="C372" i="3" a="1"/>
  <c r="C372" i="3" s="1"/>
  <c r="D372" i="3" a="1"/>
  <c r="D372" i="3" s="1"/>
  <c r="E372" i="3" a="1"/>
  <c r="E372" i="3" s="1"/>
  <c r="F372" i="3" a="1"/>
  <c r="F372" i="3" s="1"/>
  <c r="G372" i="3" a="1"/>
  <c r="G372" i="3" s="1"/>
  <c r="H372" i="3" a="1"/>
  <c r="H372" i="3" s="1"/>
  <c r="I372" i="3" a="1"/>
  <c r="I372" i="3" s="1"/>
  <c r="K372" i="3" a="1"/>
  <c r="K372" i="3" s="1"/>
  <c r="L372" i="3" a="1"/>
  <c r="L372" i="3" s="1"/>
  <c r="M372" i="3" a="1"/>
  <c r="M372" i="3" s="1"/>
  <c r="A373" i="3" a="1"/>
  <c r="A373" i="3" s="1"/>
  <c r="B373" i="3" a="1"/>
  <c r="B373" i="3" s="1"/>
  <c r="C373" i="3" a="1"/>
  <c r="C373" i="3" s="1"/>
  <c r="D373" i="3" a="1"/>
  <c r="D373" i="3" s="1"/>
  <c r="E373" i="3" a="1"/>
  <c r="E373" i="3" s="1"/>
  <c r="F373" i="3" a="1"/>
  <c r="F373" i="3" s="1"/>
  <c r="G373" i="3" a="1"/>
  <c r="G373" i="3" s="1"/>
  <c r="H373" i="3" a="1"/>
  <c r="H373" i="3" s="1"/>
  <c r="I373" i="3" a="1"/>
  <c r="I373" i="3" s="1"/>
  <c r="K373" i="3" a="1"/>
  <c r="K373" i="3" s="1"/>
  <c r="L373" i="3" a="1"/>
  <c r="L373" i="3" s="1"/>
  <c r="M373" i="3" a="1"/>
  <c r="M373" i="3" s="1"/>
  <c r="A374" i="3" a="1"/>
  <c r="A374" i="3" s="1"/>
  <c r="B374" i="3" a="1"/>
  <c r="B374" i="3" s="1"/>
  <c r="C374" i="3" a="1"/>
  <c r="C374" i="3" s="1"/>
  <c r="D374" i="3" a="1"/>
  <c r="D374" i="3" s="1"/>
  <c r="E374" i="3" a="1"/>
  <c r="E374" i="3" s="1"/>
  <c r="F374" i="3" a="1"/>
  <c r="F374" i="3" s="1"/>
  <c r="G374" i="3" a="1"/>
  <c r="G374" i="3" s="1"/>
  <c r="H374" i="3" a="1"/>
  <c r="H374" i="3" s="1"/>
  <c r="I374" i="3" a="1"/>
  <c r="I374" i="3" s="1"/>
  <c r="K374" i="3" a="1"/>
  <c r="K374" i="3" s="1"/>
  <c r="L374" i="3" a="1"/>
  <c r="L374" i="3" s="1"/>
  <c r="M374" i="3" a="1"/>
  <c r="M374" i="3" s="1"/>
  <c r="A375" i="3" a="1"/>
  <c r="A375" i="3" s="1"/>
  <c r="B375" i="3" a="1"/>
  <c r="B375" i="3" s="1"/>
  <c r="C375" i="3" a="1"/>
  <c r="C375" i="3" s="1"/>
  <c r="D375" i="3" a="1"/>
  <c r="D375" i="3" s="1"/>
  <c r="E375" i="3" a="1"/>
  <c r="E375" i="3" s="1"/>
  <c r="F375" i="3" a="1"/>
  <c r="F375" i="3" s="1"/>
  <c r="G375" i="3" a="1"/>
  <c r="G375" i="3" s="1"/>
  <c r="H375" i="3" a="1"/>
  <c r="H375" i="3" s="1"/>
  <c r="I375" i="3" a="1"/>
  <c r="I375" i="3" s="1"/>
  <c r="K375" i="3" a="1"/>
  <c r="K375" i="3" s="1"/>
  <c r="L375" i="3" a="1"/>
  <c r="L375" i="3" s="1"/>
  <c r="M375" i="3" a="1"/>
  <c r="M375" i="3" s="1"/>
  <c r="A376" i="3" a="1"/>
  <c r="A376" i="3" s="1"/>
  <c r="B376" i="3" a="1"/>
  <c r="B376" i="3" s="1"/>
  <c r="C376" i="3" a="1"/>
  <c r="C376" i="3" s="1"/>
  <c r="D376" i="3" a="1"/>
  <c r="D376" i="3" s="1"/>
  <c r="E376" i="3" a="1"/>
  <c r="E376" i="3" s="1"/>
  <c r="F376" i="3" a="1"/>
  <c r="F376" i="3" s="1"/>
  <c r="G376" i="3" a="1"/>
  <c r="G376" i="3" s="1"/>
  <c r="H376" i="3" a="1"/>
  <c r="H376" i="3" s="1"/>
  <c r="I376" i="3" a="1"/>
  <c r="I376" i="3" s="1"/>
  <c r="K376" i="3" a="1"/>
  <c r="K376" i="3" s="1"/>
  <c r="L376" i="3" a="1"/>
  <c r="L376" i="3" s="1"/>
  <c r="M376" i="3" a="1"/>
  <c r="M376" i="3" s="1"/>
  <c r="A377" i="3" a="1"/>
  <c r="A377" i="3" s="1"/>
  <c r="B377" i="3" a="1"/>
  <c r="B377" i="3" s="1"/>
  <c r="C377" i="3" a="1"/>
  <c r="C377" i="3" s="1"/>
  <c r="D377" i="3" a="1"/>
  <c r="D377" i="3" s="1"/>
  <c r="E377" i="3" a="1"/>
  <c r="E377" i="3" s="1"/>
  <c r="F377" i="3" a="1"/>
  <c r="F377" i="3" s="1"/>
  <c r="G377" i="3" a="1"/>
  <c r="G377" i="3" s="1"/>
  <c r="H377" i="3" a="1"/>
  <c r="H377" i="3" s="1"/>
  <c r="I377" i="3" a="1"/>
  <c r="I377" i="3" s="1"/>
  <c r="K377" i="3" a="1"/>
  <c r="K377" i="3" s="1"/>
  <c r="L377" i="3" a="1"/>
  <c r="L377" i="3" s="1"/>
  <c r="M377" i="3" a="1"/>
  <c r="M377" i="3" s="1"/>
  <c r="A378" i="3" a="1"/>
  <c r="A378" i="3" s="1"/>
  <c r="B378" i="3" a="1"/>
  <c r="B378" i="3" s="1"/>
  <c r="C378" i="3" a="1"/>
  <c r="C378" i="3" s="1"/>
  <c r="D378" i="3" a="1"/>
  <c r="D378" i="3" s="1"/>
  <c r="E378" i="3" a="1"/>
  <c r="E378" i="3" s="1"/>
  <c r="F378" i="3" a="1"/>
  <c r="F378" i="3" s="1"/>
  <c r="G378" i="3" a="1"/>
  <c r="G378" i="3" s="1"/>
  <c r="H378" i="3" a="1"/>
  <c r="H378" i="3" s="1"/>
  <c r="I378" i="3" a="1"/>
  <c r="I378" i="3" s="1"/>
  <c r="K378" i="3" a="1"/>
  <c r="K378" i="3" s="1"/>
  <c r="L378" i="3" a="1"/>
  <c r="L378" i="3" s="1"/>
  <c r="M378" i="3" a="1"/>
  <c r="M378" i="3" s="1"/>
  <c r="A379" i="3" a="1"/>
  <c r="A379" i="3" s="1"/>
  <c r="B379" i="3" a="1"/>
  <c r="B379" i="3" s="1"/>
  <c r="C379" i="3" a="1"/>
  <c r="C379" i="3" s="1"/>
  <c r="D379" i="3" a="1"/>
  <c r="D379" i="3" s="1"/>
  <c r="E379" i="3" a="1"/>
  <c r="E379" i="3" s="1"/>
  <c r="F379" i="3" a="1"/>
  <c r="F379" i="3" s="1"/>
  <c r="G379" i="3" a="1"/>
  <c r="G379" i="3" s="1"/>
  <c r="H379" i="3" a="1"/>
  <c r="H379" i="3" s="1"/>
  <c r="I379" i="3" a="1"/>
  <c r="I379" i="3" s="1"/>
  <c r="K379" i="3" a="1"/>
  <c r="K379" i="3" s="1"/>
  <c r="L379" i="3" a="1"/>
  <c r="L379" i="3" s="1"/>
  <c r="M379" i="3" a="1"/>
  <c r="M379" i="3" s="1"/>
  <c r="A380" i="3" a="1"/>
  <c r="A380" i="3" s="1"/>
  <c r="B380" i="3" a="1"/>
  <c r="B380" i="3" s="1"/>
  <c r="C380" i="3" a="1"/>
  <c r="C380" i="3" s="1"/>
  <c r="D380" i="3" a="1"/>
  <c r="D380" i="3" s="1"/>
  <c r="E380" i="3" a="1"/>
  <c r="E380" i="3" s="1"/>
  <c r="F380" i="3" a="1"/>
  <c r="F380" i="3" s="1"/>
  <c r="G380" i="3" a="1"/>
  <c r="G380" i="3" s="1"/>
  <c r="H380" i="3" a="1"/>
  <c r="H380" i="3" s="1"/>
  <c r="I380" i="3" a="1"/>
  <c r="I380" i="3" s="1"/>
  <c r="K380" i="3" a="1"/>
  <c r="K380" i="3" s="1"/>
  <c r="L380" i="3" a="1"/>
  <c r="L380" i="3" s="1"/>
  <c r="M380" i="3" a="1"/>
  <c r="M380" i="3" s="1"/>
  <c r="A381" i="3" a="1"/>
  <c r="A381" i="3" s="1"/>
  <c r="B381" i="3" a="1"/>
  <c r="B381" i="3" s="1"/>
  <c r="C381" i="3" a="1"/>
  <c r="C381" i="3" s="1"/>
  <c r="D381" i="3" a="1"/>
  <c r="D381" i="3" s="1"/>
  <c r="E381" i="3" a="1"/>
  <c r="E381" i="3" s="1"/>
  <c r="F381" i="3" a="1"/>
  <c r="F381" i="3" s="1"/>
  <c r="G381" i="3" a="1"/>
  <c r="G381" i="3" s="1"/>
  <c r="H381" i="3" a="1"/>
  <c r="H381" i="3" s="1"/>
  <c r="I381" i="3" a="1"/>
  <c r="I381" i="3" s="1"/>
  <c r="K381" i="3" a="1"/>
  <c r="K381" i="3" s="1"/>
  <c r="L381" i="3" a="1"/>
  <c r="L381" i="3" s="1"/>
  <c r="M381" i="3" a="1"/>
  <c r="M381" i="3" s="1"/>
  <c r="B103" i="4" a="1"/>
  <c r="B103" i="4" s="1"/>
  <c r="C111" i="4" a="1"/>
  <c r="C111" i="4" s="1"/>
  <c r="D111" i="4" a="1"/>
  <c r="D111" i="4" s="1"/>
  <c r="B112" i="4" a="1"/>
  <c r="B112" i="4" s="1"/>
  <c r="C84" i="4" a="1"/>
  <c r="C84" i="4" s="1"/>
  <c r="E83" i="4" a="1"/>
  <c r="E83" i="4" s="1"/>
  <c r="C93" i="4" a="1"/>
  <c r="C93" i="4" s="1"/>
  <c r="B85" i="4" a="1"/>
  <c r="B85" i="4" s="1"/>
  <c r="D101" i="4" a="1"/>
  <c r="D101" i="4" s="1"/>
  <c r="C94" i="4" a="1"/>
  <c r="C94" i="4" s="1"/>
  <c r="E93" i="4" a="1"/>
  <c r="E93" i="4" s="1"/>
  <c r="E92" i="4" a="1"/>
  <c r="E92" i="4" s="1"/>
  <c r="B92" i="4" a="1"/>
  <c r="B92" i="4" s="1"/>
  <c r="D84" i="4" a="1"/>
  <c r="D84" i="4" s="1"/>
  <c r="B102" i="4" a="1"/>
  <c r="B102" i="4" s="1"/>
  <c r="E101" i="4" a="1"/>
  <c r="E101" i="4" s="1"/>
  <c r="F93" i="4" a="1"/>
  <c r="F93" i="4" s="1"/>
  <c r="C83" i="4" a="1"/>
  <c r="C83" i="4" s="1"/>
  <c r="B94" i="4" a="1"/>
  <c r="B94" i="4" s="1"/>
  <c r="F103" i="4" a="1"/>
  <c r="F103" i="4" s="1"/>
  <c r="F109" i="4" a="1"/>
  <c r="F109" i="4" s="1"/>
  <c r="B110" i="4" a="1"/>
  <c r="B110" i="4" s="1"/>
  <c r="D110" i="4" a="1"/>
  <c r="D110" i="4" s="1"/>
  <c r="E110" i="4" a="1"/>
  <c r="E110" i="4" s="1"/>
  <c r="C102" i="4" a="1"/>
  <c r="C102" i="4" s="1"/>
  <c r="E103" i="4" a="1"/>
  <c r="E103" i="4" s="1"/>
  <c r="D93" i="4" a="1"/>
  <c r="D93" i="4" s="1"/>
  <c r="F17" i="6"/>
  <c r="C17" i="6"/>
  <c r="B17" i="6"/>
  <c r="D17" i="6"/>
  <c r="B50" i="4" a="1"/>
  <c r="B50" i="4" s="1"/>
  <c r="E49" i="4" a="1"/>
  <c r="E49" i="4" s="1"/>
  <c r="B49" i="4" a="1"/>
  <c r="B49" i="4" s="1"/>
  <c r="E40" i="4" a="1"/>
  <c r="E40" i="4" s="1"/>
  <c r="F39" i="4" a="1"/>
  <c r="F39" i="4" s="1"/>
  <c r="F48" i="4" a="1"/>
  <c r="F48" i="4" s="1"/>
  <c r="C48" i="4" a="1"/>
  <c r="C48" i="4" s="1"/>
  <c r="B48" i="4" a="1"/>
  <c r="B48" i="4" s="1"/>
  <c r="B41" i="4" a="1"/>
  <c r="B41" i="4" s="1"/>
  <c r="F82" i="4" a="1"/>
  <c r="F82" i="4" s="1"/>
  <c r="E77" i="4" a="1"/>
  <c r="E77" i="4" s="1"/>
  <c r="C50" i="4" a="1"/>
  <c r="C50" i="4" s="1"/>
  <c r="C58" i="4" a="1"/>
  <c r="C58" i="4" s="1"/>
  <c r="D57" i="4" a="1"/>
  <c r="D57" i="4" s="1"/>
  <c r="F56" i="4" a="1"/>
  <c r="F56" i="4" s="1"/>
  <c r="E56" i="4" a="1"/>
  <c r="E56" i="4" s="1"/>
  <c r="F49" i="4" a="1"/>
  <c r="F49" i="4" s="1"/>
  <c r="D40" i="4" a="1"/>
  <c r="D40" i="4" s="1"/>
  <c r="C40" i="4" a="1"/>
  <c r="C40" i="4" s="1"/>
  <c r="B12" i="4" a="1"/>
  <c r="B12" i="4" s="1"/>
  <c r="D20" i="4" a="1"/>
  <c r="D20" i="4" s="1"/>
  <c r="E11" i="4" a="1"/>
  <c r="E11" i="4" s="1"/>
  <c r="D12" i="4" a="1"/>
  <c r="D12" i="4" s="1"/>
  <c r="E12" i="4" a="1"/>
  <c r="E12" i="4" s="1"/>
  <c r="B13" i="4" a="1"/>
  <c r="B13" i="4" s="1"/>
  <c r="C13" i="4" a="1"/>
  <c r="C13" i="4" s="1"/>
  <c r="E20" i="4" a="1"/>
  <c r="E20" i="4" s="1"/>
  <c r="B21" i="4" a="1"/>
  <c r="B21" i="4" s="1"/>
  <c r="C21" i="4" a="1"/>
  <c r="C21" i="4" s="1"/>
  <c r="D22" i="4" a="1"/>
  <c r="D22" i="4" s="1"/>
  <c r="E22" i="4" a="1"/>
  <c r="E22" i="4" s="1"/>
  <c r="D39" i="4" a="1"/>
  <c r="D39" i="4" s="1"/>
  <c r="D58" i="4" a="1"/>
  <c r="D58" i="4" s="1"/>
  <c r="F58" i="4" a="1"/>
  <c r="F58" i="4" s="1"/>
  <c r="B59" i="4" a="1"/>
  <c r="B59" i="4" s="1"/>
  <c r="C60" i="4" a="1"/>
  <c r="C60" i="4" s="1"/>
  <c r="B65" i="4" a="1"/>
  <c r="B65" i="4" s="1"/>
  <c r="D65" i="4" a="1"/>
  <c r="D65" i="4" s="1"/>
  <c r="F65" i="4" a="1"/>
  <c r="F65" i="4" s="1"/>
  <c r="C66" i="4" a="1"/>
  <c r="C66" i="4" s="1"/>
  <c r="D50" i="4" a="1"/>
  <c r="D50" i="4" s="1"/>
  <c r="E66" i="4" a="1"/>
  <c r="E66" i="4" s="1"/>
  <c r="B67" i="4" a="1"/>
  <c r="B67" i="4" s="1"/>
  <c r="B83" i="4" a="1"/>
  <c r="B83" i="4" s="1"/>
  <c r="B75" i="4" a="1"/>
  <c r="B75" i="4" s="1"/>
  <c r="B68" i="4" a="1"/>
  <c r="B68" i="4" s="1"/>
  <c r="F68" i="4" a="1"/>
  <c r="F68" i="4" s="1"/>
  <c r="C74" i="4" a="1"/>
  <c r="C74" i="4" s="1"/>
  <c r="D74" i="4" a="1"/>
  <c r="D74" i="4" s="1"/>
  <c r="E31" i="4" a="1"/>
  <c r="E31" i="4" s="1"/>
  <c r="C76" i="4" a="1"/>
  <c r="C76" i="4" s="1"/>
  <c r="B31" i="4" a="1"/>
  <c r="B31" i="4" s="1"/>
  <c r="F31" i="4" a="1"/>
  <c r="F31" i="4" s="1"/>
  <c r="B39" i="4" a="1"/>
  <c r="B39" i="4" s="1"/>
  <c r="F22" i="4" a="1"/>
  <c r="F22" i="4" s="1"/>
  <c r="D66" i="4" a="1"/>
  <c r="D66" i="4" s="1"/>
  <c r="F75" i="4" a="1"/>
  <c r="F75" i="4" s="1"/>
  <c r="D29" i="4" a="1"/>
  <c r="D29" i="4" s="1"/>
  <c r="E29" i="4" a="1"/>
  <c r="E29" i="4" s="1"/>
  <c r="D76" i="4" a="1"/>
  <c r="D76" i="4" s="1"/>
  <c r="B30" i="4" a="1"/>
  <c r="B30" i="4" s="1"/>
  <c r="E76" i="4" a="1"/>
  <c r="E76" i="4" s="1"/>
  <c r="C30" i="4" a="1"/>
  <c r="C30" i="4" s="1"/>
  <c r="B57" i="4" a="1"/>
  <c r="B57" i="4" s="1"/>
  <c r="B14" i="1" l="1"/>
  <c r="B17" i="1"/>
  <c r="B18" i="1"/>
  <c r="B15" i="1" l="1"/>
  <c r="B16" i="1" a="1"/>
  <c r="B16" i="1" s="1"/>
</calcChain>
</file>

<file path=xl/sharedStrings.xml><?xml version="1.0" encoding="utf-8"?>
<sst xmlns="http://schemas.openxmlformats.org/spreadsheetml/2006/main" count="4221" uniqueCount="229">
  <si>
    <t>AGENDA FISCAL PERSONALIZADA · 2026</t>
  </si>
  <si>
    <t>PANORAMA GENERAL</t>
  </si>
  <si>
    <t>CÓMO USARLA</t>
  </si>
  <si>
    <t>Indicador</t>
  </si>
  <si>
    <t>Valor</t>
  </si>
  <si>
    <t>1.  Abrí la hoja “Configuración”.
2.  Ingresá el CUIT del cliente.
3.  Marcá “Sí” en los regímenes que correspondan.
4.  Consultá “Mi agenda”: la lista y el semáforo de vencimientos se actualizan solos.</t>
  </si>
  <si>
    <t>Vencimientos incluidos (según Configuración)</t>
  </si>
  <si>
    <t>Próximo vencimiento</t>
  </si>
  <si>
    <t>Faltan</t>
  </si>
  <si>
    <t>Qué vence ese día</t>
  </si>
  <si>
    <t>Vencimientos esta semana (7 días)</t>
  </si>
  <si>
    <t>Vencimientos este mes</t>
  </si>
  <si>
    <t>Registros en la base (universo total)</t>
  </si>
  <si>
    <t>Última revisión de fuentes</t>
  </si>
  <si>
    <t>17/08/2026</t>
  </si>
  <si>
    <t>→  Empezar: completar Configuración</t>
  </si>
  <si>
    <t>→  Ver Mi agenda</t>
  </si>
  <si>
    <t>→  Ver Calendario</t>
  </si>
  <si>
    <t>CONFIGURACIÓN DEL CLIENTE</t>
  </si>
  <si>
    <t>CUIT (con o sin guiones)</t>
  </si>
  <si>
    <t>← escribí acá el CUIT del cliente</t>
  </si>
  <si>
    <t>Último dígito detectado</t>
  </si>
  <si>
    <t>¿Qué obligaciones tiene?</t>
  </si>
  <si>
    <t>Incluir</t>
  </si>
  <si>
    <t>Monotributo</t>
  </si>
  <si>
    <t>Sí</t>
  </si>
  <si>
    <t>Autónomos</t>
  </si>
  <si>
    <t>Responsable inscripto (IVA / Libro IVA)</t>
  </si>
  <si>
    <t>Empleador (F. 931)</t>
  </si>
  <si>
    <t>Casas particulares</t>
  </si>
  <si>
    <t>Agente de retención/percepción (SIRE)</t>
  </si>
  <si>
    <t>Sociedad — Ganancias</t>
  </si>
  <si>
    <t>Persona humana — Ganancias/Bienes Personales</t>
  </si>
  <si>
    <t>Convenio Multilateral</t>
  </si>
  <si>
    <t>Importante: el CUIT define la terminación y la fecha, pero no informa automáticamente los impuestos en los que está inscripto el cliente. Marcá únicamente los regímenes que correspondan según la constancia de inscripción.</t>
  </si>
  <si>
    <t>MI AGENDA FISCAL · 2026</t>
  </si>
  <si>
    <t>Fecha</t>
  </si>
  <si>
    <t>Vencimiento</t>
  </si>
  <si>
    <t>Impuesto / régimen</t>
  </si>
  <si>
    <t>Obligación</t>
  </si>
  <si>
    <t>Perfil</t>
  </si>
  <si>
    <t>Terminación CUIT</t>
  </si>
  <si>
    <t>Período</t>
  </si>
  <si>
    <t>Tipo</t>
  </si>
  <si>
    <t>Alcance</t>
  </si>
  <si>
    <t>Estado</t>
  </si>
  <si>
    <t>Fuente oficial</t>
  </si>
  <si>
    <t>Notas</t>
  </si>
  <si>
    <t>Días</t>
  </si>
  <si>
    <t>Cumplido</t>
  </si>
  <si>
    <t>Pendiente</t>
  </si>
  <si>
    <t>CALENDARIO DE VENCIMIENTOS · 2026</t>
  </si>
  <si>
    <t>Referencias:</t>
  </si>
  <si>
    <t>Vencido</t>
  </si>
  <si>
    <t>Próximo (≤ 7 días)</t>
  </si>
  <si>
    <t>Con tiempo</t>
  </si>
  <si>
    <t>Según la Configuración actual del cliente. El detalle completo está en “Mi agenda”.</t>
  </si>
  <si>
    <t>ENERO</t>
  </si>
  <si>
    <t>Lun</t>
  </si>
  <si>
    <t>Mar</t>
  </si>
  <si>
    <t>Mié</t>
  </si>
  <si>
    <t>Jue</t>
  </si>
  <si>
    <t>Vie</t>
  </si>
  <si>
    <t>Sáb</t>
  </si>
  <si>
    <t>Dom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</si>
  <si>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</si>
  <si>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</si>
  <si>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</si>
  <si>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</si>
  <si>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</si>
  <si>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</si>
  <si>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</si>
  <si>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</si>
  <si>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</si>
  <si>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</si>
  <si>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</si>
  <si>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Grupo</t>
  </si>
  <si>
    <t>Mostrar</t>
  </si>
  <si>
    <t>Orden</t>
  </si>
  <si>
    <t>FechaDia</t>
  </si>
  <si>
    <t>DíaOrden</t>
  </si>
  <si>
    <t>ClaveDía</t>
  </si>
  <si>
    <t>Aporte mensual</t>
  </si>
  <si>
    <t>Trabajadores autónomos</t>
  </si>
  <si>
    <t>0-1-2-3</t>
  </si>
  <si>
    <t>2025-12</t>
  </si>
  <si>
    <t>Pago</t>
  </si>
  <si>
    <t>Nacional</t>
  </si>
  <si>
    <t>https://biblioteca.arca.gob.ar/search/query/adjunto.aspx?p=t%3ARAG%7Cn%3A4172%7Co%3A3%7Ca%3A2017%7Cd%3Aanexo_5450785_1.pdf</t>
  </si>
  <si>
    <t>4-5-6</t>
  </si>
  <si>
    <t>7-8-9</t>
  </si>
  <si>
    <t>SIRE Seguridad Social</t>
  </si>
  <si>
    <t>F. 996: DDJJ nominativa y saldo</t>
  </si>
  <si>
    <t>Agentes de retención/percepción</t>
  </si>
  <si>
    <t>Presentación y pago</t>
  </si>
  <si>
    <t>Retenciones</t>
  </si>
  <si>
    <t>Seguridad Social</t>
  </si>
  <si>
    <t>F. 931: DDJJ y pago</t>
  </si>
  <si>
    <t>Empleadores</t>
  </si>
  <si>
    <t>Empleador</t>
  </si>
  <si>
    <t>SIRE Impositiva</t>
  </si>
  <si>
    <t>F. 997: DDJJ nominativa y saldo</t>
  </si>
  <si>
    <t>Aportes y contribuciones obligatorios</t>
  </si>
  <si>
    <t>Empleadores de casas particulares</t>
  </si>
  <si>
    <t>Todas</t>
  </si>
  <si>
    <t>Ganancias sociedades</t>
  </si>
  <si>
    <t>DDJJ anual según mes de cierre</t>
  </si>
  <si>
    <t>Personas jurídicas</t>
  </si>
  <si>
    <t>Agosto 2025</t>
  </si>
  <si>
    <t>Presentación</t>
  </si>
  <si>
    <t>https://www.arca.gob.ar/gananciasYBienes/ganancias/personas-juridicas/declaracion-jurada/documentos/Ganancias-vencimientos-PJ.pdf</t>
  </si>
  <si>
    <t>El saldo vence el día hábil siguiente.</t>
  </si>
  <si>
    <t>Sociedad</t>
  </si>
  <si>
    <t>Aportes voluntarios F. 575/RT</t>
  </si>
  <si>
    <t>Trabajadores de casas particulares</t>
  </si>
  <si>
    <t>Impuestos Internos</t>
  </si>
  <si>
    <t>F. 770: DDJJ y pago</t>
  </si>
  <si>
    <t>Sujetos alcanzados</t>
  </si>
  <si>
    <t>Responsable inscripto</t>
  </si>
  <si>
    <t>IVA</t>
  </si>
  <si>
    <t>DDJJ y pago</t>
  </si>
  <si>
    <t>Responsables inscriptos</t>
  </si>
  <si>
    <t>Libro IVA Digital</t>
  </si>
  <si>
    <t>Registración electrónica</t>
  </si>
  <si>
    <t>Responsables alcanzados</t>
  </si>
  <si>
    <t>El encuadre puede variar según el contribuyente.</t>
  </si>
  <si>
    <t>Pago mensual</t>
  </si>
  <si>
    <t>Monotributistas</t>
  </si>
  <si>
    <t>2026-01</t>
  </si>
  <si>
    <t>https://www.arca.gob.ar/monotributo/ayuda/pagos.asp</t>
  </si>
  <si>
    <t>Si el día 20 es inhábil, pasa al primer día hábil siguiente.</t>
  </si>
  <si>
    <t>Recategorización semestral</t>
  </si>
  <si>
    <t>2.º semestre 2025</t>
  </si>
  <si>
    <t>Trámite</t>
  </si>
  <si>
    <t>https://arca.gob.ar/monotributo/ayuda/recategorizacion.asp</t>
  </si>
  <si>
    <t>Septiembre 2025</t>
  </si>
  <si>
    <t>2026-02</t>
  </si>
  <si>
    <t>Ingresos Brutos — Convenio Multilateral</t>
  </si>
  <si>
    <t>CM03/CM04: DDJJ mensual y pago</t>
  </si>
  <si>
    <t>Contribuyentes de Convenio Multilateral</t>
  </si>
  <si>
    <t>0-1-2</t>
  </si>
  <si>
    <t>Enero 2026</t>
  </si>
  <si>
    <t>Interjurisdiccional</t>
  </si>
  <si>
    <t>https://www.ca.gob.ar/comarb-disposiciones-de-presidencia/download/455-2026/8653-disposicion-de-presidencia-n-5-2026-prorroga-vencimientos-de-las-presentaciones-y-pagos-del-anticipo-enero-2026-sifere-2</t>
  </si>
  <si>
    <t>Prórroga excepcional: todas las terminaciones hasta el 20/02/2026.</t>
  </si>
  <si>
    <t>3-4-5</t>
  </si>
  <si>
    <t>6-7</t>
  </si>
  <si>
    <t>8-9</t>
  </si>
  <si>
    <t>Octubre 2025</t>
  </si>
  <si>
    <t>Febrero 2026</t>
  </si>
  <si>
    <t>https://www.ca.gob.ar/comarb-generales/download/451-2025/8627-rg-20-vencimientos-sifere-2026</t>
  </si>
  <si>
    <t>Calendario SIFERE 2026, RG CA 20/2025.</t>
  </si>
  <si>
    <t>2026-03</t>
  </si>
  <si>
    <t>Noviembre 2025</t>
  </si>
  <si>
    <t>Marzo 2026</t>
  </si>
  <si>
    <t>2026-04</t>
  </si>
  <si>
    <t>Diciembre 2025</t>
  </si>
  <si>
    <t>Abril 2026</t>
  </si>
  <si>
    <t>2026-05</t>
  </si>
  <si>
    <t>Mayo 2026</t>
  </si>
  <si>
    <t>2026-06</t>
  </si>
  <si>
    <t>CM05: declaración jurada anual</t>
  </si>
  <si>
    <t>2025</t>
  </si>
  <si>
    <t>Fecha única establecida por RG CA 20/2025.</t>
  </si>
  <si>
    <t>Junio 2026</t>
  </si>
  <si>
    <t>2026-07</t>
  </si>
  <si>
    <t>Bienes Personales</t>
  </si>
  <si>
    <t>DDJJ y pago período fiscal 2025</t>
  </si>
  <si>
    <t>Personas humanas y sucesiones indivisas</t>
  </si>
  <si>
    <t>https://www.arca.gob.ar/gananciasYBienes/bienes-personales/declaracion-jurada/vencimientos.asp</t>
  </si>
  <si>
    <t>Persona humana</t>
  </si>
  <si>
    <t>Ganancias personas humanas</t>
  </si>
  <si>
    <t>Pago DDJJ período fiscal 2025</t>
  </si>
  <si>
    <t>https://www.arca.gob.ar/gananciasYBienes/ganancias/personas-humanas-sucesiones-indivisas/declaracion-jurada/determinativa/vencimientos.asp</t>
  </si>
  <si>
    <t>ARCA publicó fecha única.</t>
  </si>
  <si>
    <t>DDJJ informativa período fiscal 2025</t>
  </si>
  <si>
    <t>Personas humanas alcanzadas</t>
  </si>
  <si>
    <t>1.º semestre 2026</t>
  </si>
  <si>
    <t>Julio 2026</t>
  </si>
  <si>
    <t>2026-08</t>
  </si>
  <si>
    <t>Presentación DDJJ período fiscal 2025</t>
  </si>
  <si>
    <t>Prórroga publicada por ARCA.</t>
  </si>
  <si>
    <t>Agosto 2026</t>
  </si>
  <si>
    <t>2026-09</t>
  </si>
  <si>
    <t>Septiembre 2026</t>
  </si>
  <si>
    <t>2026-10</t>
  </si>
  <si>
    <t>Octubre 2026</t>
  </si>
  <si>
    <t>2026-11</t>
  </si>
  <si>
    <t>Noviembre 2026</t>
  </si>
  <si>
    <t>2026-12</t>
  </si>
  <si>
    <t>RESUMEN MENSUAL · 2026</t>
  </si>
  <si>
    <t>Mes</t>
  </si>
  <si>
    <t>Total</t>
  </si>
  <si>
    <t>Pagos</t>
  </si>
  <si>
    <t>Presentaciones</t>
  </si>
  <si>
    <t>Pendientes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</si>
  <si>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</si>
  <si>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</si>
  <si>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</si>
  <si>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</si>
  <si>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</si>
  <si>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</si>
  <si>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</si>
  <si>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</si>
  <si>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</si>
  <si>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</si>
  <si>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</si>
  <si>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</si>
  <si>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FUENTES OFICIALES Y ALCANCE</t>
  </si>
  <si>
    <t>Fuente</t>
  </si>
  <si>
    <t>URL</t>
  </si>
  <si>
    <t>Uso</t>
  </si>
  <si>
    <t>Agenda de vencimientos ARCA</t>
  </si>
  <si>
    <t>Ver fuente oficial ↗</t>
  </si>
  <si>
    <t>Consulta de novedades y calendario personalizado</t>
  </si>
  <si>
    <t>Agenda general de vencimientos</t>
  </si>
  <si>
    <t>Reglas generales para IVA, seguridad social, autónomos, casas particulares, SIRE e impuestos internos</t>
  </si>
  <si>
    <t>Monotributo — pagos</t>
  </si>
  <si>
    <t>Monotributo — recategorización</t>
  </si>
  <si>
    <t>Recategorización febrero/agosto</t>
  </si>
  <si>
    <t>Ganancias — personas jurídicas</t>
  </si>
  <si>
    <t>Fechas 2026 según cierre y CUIT</t>
  </si>
  <si>
    <t>Ganancias — personas humanas</t>
  </si>
  <si>
    <t>Período fiscal 2025</t>
  </si>
  <si>
    <t>Convenio Multilateral — SIFERE 2026</t>
  </si>
  <si>
    <t>CM03/CM04 mensuales y CM05 anual</t>
  </si>
  <si>
    <t>Prórroga CM enero 2026</t>
  </si>
  <si>
    <t>Prórroga excepcional del anticipo enero</t>
  </si>
  <si>
    <t>ALCANCE
Esta agenda cubre obligaciones nacionales de uso frecuente y Convenio Multilateral (SIFERE: CM03/CM04 y CM05). No reemplaza la agenda personalizada de ARCA/COMARB ni contempla automáticamente los regímenes locales de Ingresos Brutos, tasas municipales, regímenes sectoriales especiales, prórrogas posteriores al 17/08/2026 o feriados locales. Ante cambios normativos, prevalece el organismo recaudador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</si>
</sst>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;\-0;;"/>
  </numFmts>
  <fonts count="29" x14ac:knownFonts="1">
    <font>
      <sz val="11"/>
      <color rgb="FF000000"/>
      <name val="Calibri"/>
      <charset val="1"/>
    </font>
    <font>
      <sz val="11"/>
      <color theme="1"/>
      <name val="Aptos"/>
      <charset val="1"/>
    </font>
    <font>
      <b/>
      <sz val="22"/>
      <color rgb="FFFFFFFF"/>
      <name val="Arial"/>
      <family val="2"/>
      <charset val="1"/>
    </font>
    <font>
      <b/>
      <sz val="11"/>
      <color rgb="FFFFFFFF"/>
      <name val="Aptos"/>
      <charset val="1"/>
    </font>
    <font>
      <sz val="11"/>
      <color rgb="FF202124"/>
      <name val="Aptos"/>
      <charset val="1"/>
    </font>
    <font>
      <sz val="11"/>
      <color theme="1"/>
      <name val="Calibri"/>
      <family val="2"/>
      <charset val="1"/>
    </font>
    <font>
      <b/>
      <sz val="11"/>
      <color rgb="FF9E0F42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2B2B2B"/>
      <name val="Arial"/>
      <family val="2"/>
      <charset val="1"/>
    </font>
    <font>
      <b/>
      <sz val="10"/>
      <color rgb="FF9E0F42"/>
      <name val="Arial"/>
      <family val="2"/>
      <charset val="1"/>
    </font>
    <font>
      <b/>
      <u/>
      <sz val="12"/>
      <color rgb="FFFFFFFF"/>
      <name val="Arial"/>
      <family val="2"/>
      <charset val="1"/>
    </font>
    <font>
      <b/>
      <sz val="18"/>
      <color rgb="FFFFFFFF"/>
      <name val="Arial"/>
      <family val="2"/>
      <charset val="1"/>
    </font>
    <font>
      <b/>
      <sz val="11"/>
      <color rgb="FF2B2B2B"/>
      <name val="Arial"/>
      <family val="2"/>
      <charset val="1"/>
    </font>
    <font>
      <i/>
      <sz val="9"/>
      <color rgb="FF9A9A9A"/>
      <name val="Arial"/>
      <family val="2"/>
      <charset val="1"/>
    </font>
    <font>
      <sz val="11"/>
      <color rgb="FF2B2B2B"/>
      <name val="Arial"/>
      <family val="2"/>
      <charset val="1"/>
    </font>
    <font>
      <i/>
      <sz val="11"/>
      <color rgb="FF6C6C6C"/>
      <name val="Arial"/>
      <family val="2"/>
      <charset val="1"/>
    </font>
    <font>
      <i/>
      <sz val="9"/>
      <color rgb="FF6C6C6C"/>
      <name val="Arial"/>
      <family val="2"/>
      <charset val="1"/>
    </font>
    <font>
      <b/>
      <sz val="10"/>
      <color rgb="FF2B2B2B"/>
      <name val="Arial"/>
      <family val="2"/>
      <charset val="1"/>
    </font>
    <font>
      <u/>
      <sz val="10"/>
      <color rgb="FF1155CC"/>
      <name val="Arial"/>
      <family val="2"/>
      <charset val="1"/>
    </font>
    <font>
      <b/>
      <sz val="9"/>
      <color rgb="FF842029"/>
      <name val="Arial"/>
      <family val="2"/>
      <charset val="1"/>
    </font>
    <font>
      <b/>
      <sz val="9"/>
      <color rgb="FF7A5B00"/>
      <name val="Arial"/>
      <family val="2"/>
      <charset val="1"/>
    </font>
    <font>
      <b/>
      <sz val="9"/>
      <color rgb="FF335E1B"/>
      <name val="Arial"/>
      <family val="2"/>
      <charset val="1"/>
    </font>
    <font>
      <i/>
      <sz val="9"/>
      <color rgb="FF8A8A8A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sz val="8"/>
      <color rgb="FF2B2B2B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0"/>
      <color rgb="FF202124"/>
      <name val="Aptos"/>
      <charset val="1"/>
    </font>
    <font>
      <b/>
      <sz val="11"/>
      <color rgb="FFFFFFFF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D4145A"/>
        <bgColor rgb="FF9E0F42"/>
      </patternFill>
    </fill>
    <fill>
      <patternFill patternType="solid">
        <fgColor rgb="FF8CC63F"/>
        <bgColor rgb="FF9A9A9A"/>
      </patternFill>
    </fill>
    <fill>
      <patternFill patternType="solid">
        <fgColor rgb="FF9E0F42"/>
        <bgColor rgb="FF842029"/>
      </patternFill>
    </fill>
    <fill>
      <patternFill patternType="solid">
        <fgColor rgb="FFFCEFF4"/>
        <bgColor rgb="FFFFF1F5"/>
      </patternFill>
    </fill>
    <fill>
      <patternFill patternType="solid">
        <fgColor rgb="FFFDF3F7"/>
        <bgColor rgb="FFFFF1F5"/>
      </patternFill>
    </fill>
    <fill>
      <patternFill patternType="solid">
        <fgColor rgb="FFFFFFFF"/>
        <bgColor rgb="FFFAFAFA"/>
      </patternFill>
    </fill>
    <fill>
      <patternFill patternType="solid">
        <fgColor rgb="FFFFF7DA"/>
        <bgColor rgb="FFFFF7E6"/>
      </patternFill>
    </fill>
    <fill>
      <patternFill patternType="solid">
        <fgColor rgb="FFFFF7E6"/>
        <bgColor rgb="FFFFFBE6"/>
      </patternFill>
    </fill>
    <fill>
      <patternFill patternType="solid">
        <fgColor rgb="FFF8D7DA"/>
        <bgColor rgb="FFEBD3DE"/>
      </patternFill>
    </fill>
    <fill>
      <patternFill patternType="solid">
        <fgColor rgb="FFFFF3CD"/>
        <bgColor rgb="FFFFF9C9"/>
      </patternFill>
    </fill>
    <fill>
      <patternFill patternType="solid">
        <fgColor rgb="FFE1F0D8"/>
        <bgColor rgb="FFD7F0E2"/>
      </patternFill>
    </fill>
    <fill>
      <patternFill patternType="solid">
        <fgColor rgb="FFFAFAFA"/>
        <bgColor rgb="FFFFFFFF"/>
      </patternFill>
    </fill>
    <fill>
      <patternFill patternType="solid">
        <fgColor rgb="FF1F3A5F"/>
        <bgColor rgb="FF2B2B2B"/>
      </patternFill>
    </fill>
    <fill>
      <patternFill patternType="solid">
        <fgColor rgb="FFFFFBE6"/>
        <bgColor rgb="FFFFF7E6"/>
      </patternFill>
    </fill>
  </fills>
  <borders count="16">
    <border>
      <left/>
      <right/>
      <top/>
      <bottom/>
      <diagonal/>
    </border>
    <border>
      <left style="thin">
        <color rgb="FFD0D5DD"/>
      </left>
      <right/>
      <top style="thin">
        <color rgb="FFD0D5DD"/>
      </top>
      <bottom/>
      <diagonal/>
    </border>
    <border>
      <left/>
      <right style="thin">
        <color rgb="FFD0D5DD"/>
      </right>
      <top style="thin">
        <color rgb="FFD0D5DD"/>
      </top>
      <bottom/>
      <diagonal/>
    </border>
    <border>
      <left style="thin">
        <color rgb="FFD0D5DD"/>
      </left>
      <right/>
      <top/>
      <bottom/>
      <diagonal/>
    </border>
    <border>
      <left/>
      <right style="thin">
        <color rgb="FFD0D5DD"/>
      </right>
      <top/>
      <bottom/>
      <diagonal/>
    </border>
    <border>
      <left style="thin">
        <color rgb="FFD0D5DD"/>
      </left>
      <right/>
      <top/>
      <bottom style="thin">
        <color rgb="FFD0D5DD"/>
      </bottom>
      <diagonal/>
    </border>
    <border>
      <left/>
      <right style="thin">
        <color rgb="FFD0D5DD"/>
      </right>
      <top/>
      <bottom style="thin">
        <color rgb="FFD0D5DD"/>
      </bottom>
      <diagonal/>
    </border>
    <border>
      <left style="thin">
        <color rgb="FFE8B93A"/>
      </left>
      <right style="thin">
        <color rgb="FFE8B93A"/>
      </right>
      <top style="thin">
        <color rgb="FFE8B93A"/>
      </top>
      <bottom style="thin">
        <color rgb="FFE8B93A"/>
      </bottom>
      <diagonal/>
    </border>
    <border>
      <left style="thin">
        <color rgb="FF98A2B3"/>
      </left>
      <right style="thin">
        <color rgb="FF98A2B3"/>
      </right>
      <top/>
      <bottom style="thin">
        <color rgb="FF98A2B3"/>
      </bottom>
      <diagonal/>
    </border>
    <border>
      <left/>
      <right/>
      <top/>
      <bottom style="thin">
        <color rgb="FF9E0F42"/>
      </bottom>
      <diagonal/>
    </border>
    <border>
      <left style="thin">
        <color rgb="FFE3C6D3"/>
      </left>
      <right style="thin">
        <color rgb="FFE3C6D3"/>
      </right>
      <top style="thin">
        <color rgb="FFE3C6D3"/>
      </top>
      <bottom style="thin">
        <color rgb="FFE3C6D3"/>
      </bottom>
      <diagonal/>
    </border>
    <border>
      <left/>
      <right/>
      <top/>
      <bottom style="thin">
        <color rgb="FFE7E9EC"/>
      </bottom>
      <diagonal/>
    </border>
    <border>
      <left/>
      <right/>
      <top style="thin">
        <color rgb="FFE7E9EC"/>
      </top>
      <bottom style="thin">
        <color rgb="FFE7E9EC"/>
      </bottom>
      <diagonal/>
    </border>
    <border>
      <left/>
      <right/>
      <top style="thin">
        <color rgb="FFE7E9EC"/>
      </top>
      <bottom/>
      <diagonal/>
    </border>
    <border>
      <left/>
      <right/>
      <top style="thin">
        <color rgb="FFD0D5DD"/>
      </top>
      <bottom/>
      <diagonal/>
    </border>
    <border>
      <left style="thin">
        <color rgb="FFEBD3DE"/>
      </left>
      <right style="thin">
        <color rgb="FFEBD3DE"/>
      </right>
      <top style="thin">
        <color rgb="FFEBD3DE"/>
      </top>
      <bottom style="thin">
        <color rgb="FFEBD3DE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6" fillId="9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top" wrapText="1"/>
    </xf>
    <xf numFmtId="0" fontId="6" fillId="0" borderId="0" xfId="0" applyFont="1"/>
    <xf numFmtId="0" fontId="6" fillId="0" borderId="3" xfId="0" applyFont="1" applyBorder="1"/>
    <xf numFmtId="0" fontId="2" fillId="2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2" fillId="0" borderId="0" xfId="0" applyFont="1"/>
    <xf numFmtId="0" fontId="11" fillId="2" borderId="0" xfId="0" applyFont="1" applyFill="1" applyAlignment="1">
      <alignment horizontal="left" vertical="center"/>
    </xf>
    <xf numFmtId="0" fontId="1" fillId="0" borderId="0" xfId="0" applyFont="1"/>
    <xf numFmtId="0" fontId="1" fillId="3" borderId="0" xfId="0" applyFont="1" applyFill="1"/>
    <xf numFmtId="0" fontId="3" fillId="0" borderId="1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/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horizontal="center" vertical="center"/>
    </xf>
    <xf numFmtId="0" fontId="1" fillId="6" borderId="0" xfId="0" applyFont="1" applyFill="1"/>
    <xf numFmtId="0" fontId="8" fillId="7" borderId="0" xfId="0" applyFont="1" applyFill="1" applyAlignment="1">
      <alignment vertical="center" wrapText="1"/>
    </xf>
    <xf numFmtId="164" fontId="9" fillId="7" borderId="0" xfId="0" applyNumberFormat="1" applyFont="1" applyFill="1" applyAlignment="1">
      <alignment horizontal="center" vertical="center"/>
    </xf>
    <xf numFmtId="0" fontId="1" fillId="7" borderId="0" xfId="0" applyFont="1" applyFill="1"/>
    <xf numFmtId="0" fontId="8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/>
    </xf>
    <xf numFmtId="0" fontId="5" fillId="6" borderId="0" xfId="0" applyFont="1" applyFill="1"/>
    <xf numFmtId="0" fontId="9" fillId="7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3" borderId="0" xfId="0" applyFont="1" applyFill="1"/>
    <xf numFmtId="0" fontId="12" fillId="0" borderId="0" xfId="0" applyFont="1"/>
    <xf numFmtId="0" fontId="12" fillId="8" borderId="7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4" fillId="0" borderId="0" xfId="0" applyFont="1"/>
    <xf numFmtId="0" fontId="15" fillId="7" borderId="8" xfId="0" applyFont="1" applyFill="1" applyBorder="1" applyAlignment="1">
      <alignment horizontal="center" vertical="center"/>
    </xf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14" fillId="6" borderId="0" xfId="0" applyFont="1" applyFill="1" applyAlignment="1">
      <alignment vertical="center" wrapText="1"/>
    </xf>
    <xf numFmtId="0" fontId="14" fillId="7" borderId="0" xfId="0" applyFont="1" applyFill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 vertical="center" wrapText="1"/>
    </xf>
    <xf numFmtId="1" fontId="5" fillId="0" borderId="0" xfId="0" applyNumberFormat="1" applyFo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19" fillId="10" borderId="0" xfId="0" applyFont="1" applyFill="1" applyAlignment="1">
      <alignment horizontal="center"/>
    </xf>
    <xf numFmtId="0" fontId="20" fillId="11" borderId="0" xfId="0" applyFont="1" applyFill="1" applyAlignment="1">
      <alignment horizontal="center"/>
    </xf>
    <xf numFmtId="0" fontId="21" fillId="12" borderId="0" xfId="0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5" fillId="13" borderId="10" xfId="0" applyFont="1" applyFill="1" applyBorder="1"/>
    <xf numFmtId="0" fontId="25" fillId="0" borderId="10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26" fillId="14" borderId="0" xfId="0" applyFont="1" applyFill="1" applyAlignment="1">
      <alignment vertical="center" wrapText="1"/>
    </xf>
    <xf numFmtId="164" fontId="27" fillId="0" borderId="11" xfId="0" applyNumberFormat="1" applyFont="1" applyBorder="1"/>
    <xf numFmtId="0" fontId="27" fillId="0" borderId="11" xfId="0" applyFont="1" applyBorder="1" applyAlignment="1">
      <alignment wrapText="1"/>
    </xf>
    <xf numFmtId="0" fontId="27" fillId="0" borderId="11" xfId="0" applyFont="1" applyBorder="1"/>
    <xf numFmtId="164" fontId="27" fillId="0" borderId="12" xfId="0" applyNumberFormat="1" applyFont="1" applyBorder="1"/>
    <xf numFmtId="0" fontId="27" fillId="0" borderId="12" xfId="0" applyFont="1" applyBorder="1" applyAlignment="1">
      <alignment wrapText="1"/>
    </xf>
    <xf numFmtId="0" fontId="27" fillId="0" borderId="12" xfId="0" applyFont="1" applyBorder="1"/>
    <xf numFmtId="164" fontId="27" fillId="0" borderId="13" xfId="0" applyNumberFormat="1" applyFont="1" applyBorder="1"/>
    <xf numFmtId="0" fontId="27" fillId="0" borderId="13" xfId="0" applyFont="1" applyBorder="1" applyAlignment="1">
      <alignment wrapText="1"/>
    </xf>
    <xf numFmtId="0" fontId="27" fillId="0" borderId="13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left" vertical="center"/>
    </xf>
    <xf numFmtId="0" fontId="8" fillId="6" borderId="15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left" vertical="center"/>
    </xf>
    <xf numFmtId="0" fontId="8" fillId="7" borderId="15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8" fillId="6" borderId="15" xfId="0" applyFont="1" applyFill="1" applyBorder="1" applyAlignment="1">
      <alignment horizontal="left" vertical="center" wrapText="1"/>
    </xf>
    <xf numFmtId="0" fontId="18" fillId="6" borderId="15" xfId="0" applyFont="1" applyFill="1" applyBorder="1" applyAlignment="1">
      <alignment horizontal="left" vertical="center"/>
    </xf>
    <xf numFmtId="0" fontId="8" fillId="7" borderId="15" xfId="0" applyFont="1" applyFill="1" applyBorder="1" applyAlignment="1">
      <alignment horizontal="left" vertical="center" wrapText="1"/>
    </xf>
    <xf numFmtId="0" fontId="18" fillId="7" borderId="15" xfId="0" applyFont="1" applyFill="1" applyBorder="1" applyAlignment="1">
      <alignment horizontal="left" vertical="center"/>
    </xf>
    <xf numFmtId="0" fontId="16" fillId="15" borderId="0" xfId="0" applyFont="1" applyFill="1" applyAlignment="1">
      <alignment horizontal="left" vertical="top" wrapText="1"/>
    </xf>
  </cellXfs>
  <cellStyles count="1">
    <cellStyle name="Normal" xfId="0" builtinId="0"/>
  </cellStyles>
  <dxfs count="45">
    <dxf>
      <font>
        <b/>
        <color rgb="FF6D6500"/>
      </font>
      <fill>
        <patternFill>
          <bgColor rgb="FFFFF9C9"/>
        </patternFill>
      </fill>
    </dxf>
    <dxf>
      <font>
        <b/>
        <color rgb="FF1F3A5F"/>
      </font>
      <fill>
        <patternFill>
          <bgColor rgb="FFFFF1F5"/>
        </patternFill>
      </fill>
    </dxf>
    <dxf>
      <font>
        <b/>
        <color rgb="FF386A12"/>
      </font>
      <fill>
        <patternFill>
          <bgColor rgb="FFDDF5C9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sz val="8"/>
        <color rgb="FF335E1B"/>
        <name val="Arial"/>
        <charset val="1"/>
      </font>
      <fill>
        <patternFill>
          <bgColor rgb="FFE1F0D8"/>
        </patternFill>
      </fill>
    </dxf>
    <dxf>
      <font>
        <b/>
        <sz val="8"/>
        <color rgb="FF7A5B00"/>
        <name val="Arial"/>
        <charset val="1"/>
      </font>
      <fill>
        <patternFill>
          <bgColor rgb="FFFFF3CD"/>
        </patternFill>
      </fill>
    </dxf>
    <dxf>
      <font>
        <b/>
        <sz val="8"/>
        <color rgb="FF842029"/>
        <name val="Arial"/>
        <charset val="1"/>
      </font>
      <fill>
        <patternFill>
          <bgColor rgb="FFF8D7DA"/>
        </patternFill>
      </fill>
    </dxf>
    <dxf>
      <font>
        <color rgb="FF335E1B"/>
        <name val="Arial"/>
        <charset val="1"/>
      </font>
      <fill>
        <patternFill>
          <bgColor rgb="FFE1F0D8"/>
        </patternFill>
      </fill>
    </dxf>
    <dxf>
      <font>
        <b/>
        <color rgb="FF7A5B00"/>
        <name val="Arial"/>
        <charset val="1"/>
      </font>
      <fill>
        <patternFill>
          <bgColor rgb="FFFFF3CD"/>
        </patternFill>
      </fill>
    </dxf>
    <dxf>
      <font>
        <b/>
        <color rgb="FF842029"/>
        <name val="Arial"/>
        <charset val="1"/>
      </font>
      <fill>
        <patternFill>
          <bgColor rgb="FFF8D7DA"/>
        </patternFill>
      </fill>
    </dxf>
    <dxf>
      <font>
        <i/>
        <color rgb="FF62686B"/>
        <name val="Arial"/>
        <charset val="1"/>
      </font>
      <fill>
        <patternFill>
          <bgColor rgb="FFE9ECEF"/>
        </patternFill>
      </fill>
    </dxf>
    <dxf>
      <font>
        <color rgb="FF667085"/>
      </font>
      <fill>
        <patternFill>
          <bgColor rgb="FFF2F4F7"/>
        </patternFill>
      </fill>
    </dxf>
    <dxf>
      <font>
        <b/>
        <color rgb="FF176B3A"/>
      </font>
      <fill>
        <patternFill>
          <bgColor rgb="FFD7F0E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7DA"/>
      <rgbColor rgb="FFFF00FF"/>
      <rgbColor rgb="FFFAFAFA"/>
      <rgbColor rgb="FF800000"/>
      <rgbColor rgb="FF176B3A"/>
      <rgbColor rgb="FF000080"/>
      <rgbColor rgb="FF6D6500"/>
      <rgbColor rgb="FF9E0F42"/>
      <rgbColor rgb="FF008080"/>
      <rgbColor rgb="FFE3C6D3"/>
      <rgbColor rgb="FF8A8A8A"/>
      <rgbColor rgb="FF98A2B3"/>
      <rgbColor rgb="FFD4145A"/>
      <rgbColor rgb="FFFFF9C9"/>
      <rgbColor rgb="FFD7F0E2"/>
      <rgbColor rgb="FF660066"/>
      <rgbColor rgb="FFFCEFF4"/>
      <rgbColor rgb="FF1155CC"/>
      <rgbColor rgb="FFD0D5DD"/>
      <rgbColor rgb="FF000080"/>
      <rgbColor rgb="FFFF00FF"/>
      <rgbColor rgb="FFFFFBE6"/>
      <rgbColor rgb="FFFDF3F7"/>
      <rgbColor rgb="FF800080"/>
      <rgbColor rgb="FF800000"/>
      <rgbColor rgb="FF008080"/>
      <rgbColor rgb="FF0000FF"/>
      <rgbColor rgb="FF00CCFF"/>
      <rgbColor rgb="FFE1F0D8"/>
      <rgbColor rgb="FFDDF5C9"/>
      <rgbColor rgb="FFFFF3CD"/>
      <rgbColor rgb="FFE7E9EC"/>
      <rgbColor rgb="FFEBD3DE"/>
      <rgbColor rgb="FFE9ECEF"/>
      <rgbColor rgb="FFF8D7DA"/>
      <rgbColor rgb="FF6C6C6C"/>
      <rgbColor rgb="FFF2F4F7"/>
      <rgbColor rgb="FF8CC63F"/>
      <rgbColor rgb="FFE8B93A"/>
      <rgbColor rgb="FFFFF7E6"/>
      <rgbColor rgb="FFFFF1F5"/>
      <rgbColor rgb="FF667085"/>
      <rgbColor rgb="FF9A9A9A"/>
      <rgbColor rgb="FF1F3A5F"/>
      <rgbColor rgb="FF386A12"/>
      <rgbColor rgb="FF335E1B"/>
      <rgbColor rgb="FF202124"/>
      <rgbColor rgb="FF842029"/>
      <rgbColor rgb="FF7A5B00"/>
      <rgbColor rgb="FF62686B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314280</xdr:rowOff>
    </xdr:from>
    <xdr:to>
      <xdr:col>2</xdr:col>
      <xdr:colOff>79920</xdr:colOff>
      <xdr:row>4</xdr:row>
      <xdr:rowOff>150420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314280"/>
          <a:ext cx="2960280" cy="721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66840</xdr:colOff>
      <xdr:row>0</xdr:row>
      <xdr:rowOff>66630</xdr:rowOff>
    </xdr:from>
    <xdr:to>
      <xdr:col>0</xdr:col>
      <xdr:colOff>2360040</xdr:colOff>
      <xdr:row>1</xdr:row>
      <xdr:rowOff>245550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840" y="66630"/>
          <a:ext cx="2293200" cy="55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85890</xdr:colOff>
      <xdr:row>0</xdr:row>
      <xdr:rowOff>79330</xdr:rowOff>
    </xdr:from>
    <xdr:to>
      <xdr:col>2</xdr:col>
      <xdr:colOff>123690</xdr:colOff>
      <xdr:row>1</xdr:row>
      <xdr:rowOff>258250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890" y="79330"/>
          <a:ext cx="2273000" cy="55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22390</xdr:colOff>
      <xdr:row>0</xdr:row>
      <xdr:rowOff>47580</xdr:rowOff>
    </xdr:from>
    <xdr:to>
      <xdr:col>2</xdr:col>
      <xdr:colOff>369950</xdr:colOff>
      <xdr:row>1</xdr:row>
      <xdr:rowOff>226500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90" y="47580"/>
          <a:ext cx="2277960" cy="55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.gob.ar/comarb-generales/download/451-2025/8627-rg-20-vencimientos-sifere-2026" TargetMode="External"/><Relationship Id="rId3" Type="http://schemas.openxmlformats.org/officeDocument/2006/relationships/hyperlink" Target="https://www.arca.gob.ar/monotributo/ayuda/pagos.asp" TargetMode="External"/><Relationship Id="rId7" Type="http://schemas.openxmlformats.org/officeDocument/2006/relationships/hyperlink" Target="https://www.arca.gob.ar/gananciasYBienes/bienes-personales/declaracion-jurada/vencimientos.asp" TargetMode="External"/><Relationship Id="rId2" Type="http://schemas.openxmlformats.org/officeDocument/2006/relationships/hyperlink" Target="https://biblioteca.arca.gob.ar/search/query/adjunto.aspx?p=t%3ARAG%7Cn%3A4172%7Co%3A3%7Ca%3A2017%7Cd%3Aanexo_5450785_1.pdf" TargetMode="External"/><Relationship Id="rId1" Type="http://schemas.openxmlformats.org/officeDocument/2006/relationships/hyperlink" Target="https://www.arca.gob.ar/vencimientos/" TargetMode="External"/><Relationship Id="rId6" Type="http://schemas.openxmlformats.org/officeDocument/2006/relationships/hyperlink" Target="https://www.arca.gob.ar/gananciasYBienes/ganancias/personas-humanas-sucesiones-indivisas/declaracion-jurada/determinativa/vencimientos.asp" TargetMode="External"/><Relationship Id="rId5" Type="http://schemas.openxmlformats.org/officeDocument/2006/relationships/hyperlink" Target="https://www.arca.gob.ar/gananciasYBienes/ganancias/personas-juridicas/declaracion-jurada/documentos/Ganancias-vencimientos-PJ.pdf" TargetMode="External"/><Relationship Id="rId4" Type="http://schemas.openxmlformats.org/officeDocument/2006/relationships/hyperlink" Target="https://arca.gob.ar/monotributo/ayuda/recategorizacion.asp" TargetMode="External"/><Relationship Id="rId9" Type="http://schemas.openxmlformats.org/officeDocument/2006/relationships/hyperlink" Target="https://www.ca.gob.ar/comarb-disposiciones-de-presidencia/download/455-2026/8653-disposicion-de-presidencia-n-5-2026-prorroga-vencimientos-de-las-presentaciones-y-pagos-del-anticipo-enero-2026-sife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zoomScaleNormal="100" workbookViewId="0">
      <selection activeCell="A9" sqref="A9"/>
    </sheetView>
  </sheetViews>
  <sheetFormatPr baseColWidth="10" defaultColWidth="14.54296875" defaultRowHeight="14.5" x14ac:dyDescent="0.35"/>
  <cols>
    <col min="1" max="1" width="26" customWidth="1"/>
    <col min="2" max="2" width="15" customWidth="1"/>
    <col min="3" max="3" width="4" customWidth="1"/>
    <col min="4" max="8" width="12" customWidth="1"/>
  </cols>
  <sheetData>
    <row r="1" spans="1:8" ht="8.5" customHeight="1" x14ac:dyDescent="0.35">
      <c r="A1" s="13"/>
      <c r="B1" s="13"/>
      <c r="C1" s="13"/>
      <c r="D1" s="13"/>
      <c r="E1" s="13"/>
      <c r="F1" s="13"/>
      <c r="G1" s="13"/>
      <c r="H1" s="13"/>
    </row>
    <row r="2" spans="1:8" ht="15" customHeight="1" x14ac:dyDescent="0.35">
      <c r="A2" s="13"/>
      <c r="B2" s="13"/>
      <c r="C2" s="13"/>
      <c r="D2" s="13"/>
      <c r="E2" s="13"/>
      <c r="F2" s="13"/>
      <c r="G2" s="13"/>
      <c r="H2" s="13"/>
    </row>
    <row r="3" spans="1:8" ht="15" customHeight="1" x14ac:dyDescent="0.35">
      <c r="A3" s="13"/>
      <c r="B3" s="13"/>
      <c r="C3" s="13"/>
      <c r="D3" s="13"/>
      <c r="E3" s="13"/>
      <c r="F3" s="13"/>
      <c r="G3" s="13"/>
      <c r="H3" s="13"/>
    </row>
    <row r="4" spans="1:8" ht="15" customHeight="1" x14ac:dyDescent="0.3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35">
      <c r="A5" s="13"/>
      <c r="B5" s="13"/>
      <c r="C5" s="13"/>
      <c r="D5" s="13"/>
      <c r="E5" s="13"/>
      <c r="F5" s="13"/>
      <c r="G5" s="13"/>
      <c r="H5" s="13"/>
    </row>
    <row r="6" spans="1:8" ht="15" customHeight="1" x14ac:dyDescent="0.35">
      <c r="A6" s="13"/>
      <c r="B6" s="13"/>
      <c r="C6" s="13"/>
      <c r="D6" s="13"/>
      <c r="E6" s="13"/>
      <c r="F6" s="13"/>
      <c r="G6" s="13"/>
      <c r="H6" s="13"/>
    </row>
    <row r="7" spans="1:8" ht="25.5" customHeight="1" x14ac:dyDescent="0.35">
      <c r="A7" s="9" t="s">
        <v>0</v>
      </c>
      <c r="B7" s="9"/>
      <c r="C7" s="9"/>
      <c r="D7" s="9"/>
      <c r="E7" s="9"/>
      <c r="F7" s="9"/>
      <c r="G7" s="9"/>
      <c r="H7" s="9"/>
    </row>
    <row r="8" spans="1:8" ht="25.5" customHeight="1" x14ac:dyDescent="0.35">
      <c r="A8" s="9"/>
      <c r="B8" s="9"/>
      <c r="C8" s="9"/>
      <c r="D8" s="9"/>
      <c r="E8" s="9"/>
      <c r="F8" s="9"/>
      <c r="G8" s="9"/>
      <c r="H8" s="9"/>
    </row>
    <row r="9" spans="1:8" ht="4.5" customHeight="1" x14ac:dyDescent="0.35">
      <c r="A9" s="14"/>
      <c r="B9" s="14"/>
      <c r="C9" s="14"/>
      <c r="D9" s="14"/>
      <c r="E9" s="14"/>
      <c r="F9" s="14"/>
      <c r="G9" s="14"/>
      <c r="H9" s="14"/>
    </row>
    <row r="10" spans="1:8" ht="7.5" customHeight="1" x14ac:dyDescent="0.35">
      <c r="A10" s="15"/>
      <c r="B10" s="16"/>
      <c r="C10" s="16"/>
      <c r="D10" s="16"/>
      <c r="E10" s="17"/>
      <c r="F10" s="17"/>
      <c r="G10" s="17"/>
      <c r="H10" s="17"/>
    </row>
    <row r="11" spans="1:8" ht="19.5" customHeight="1" x14ac:dyDescent="0.35">
      <c r="A11" s="8" t="s">
        <v>1</v>
      </c>
      <c r="B11" s="8"/>
      <c r="C11" s="8"/>
      <c r="D11" s="7" t="s">
        <v>2</v>
      </c>
      <c r="E11" s="7"/>
      <c r="F11" s="7"/>
      <c r="G11" s="7"/>
      <c r="H11" s="7"/>
    </row>
    <row r="12" spans="1:8" ht="19.5" customHeight="1" x14ac:dyDescent="0.35">
      <c r="A12" s="18" t="s">
        <v>3</v>
      </c>
      <c r="B12" s="19" t="s">
        <v>4</v>
      </c>
      <c r="C12" s="13"/>
      <c r="D12" s="6" t="s">
        <v>5</v>
      </c>
      <c r="E12" s="6"/>
      <c r="F12" s="6"/>
      <c r="G12" s="6"/>
      <c r="H12" s="6"/>
    </row>
    <row r="13" spans="1:8" ht="23.25" customHeight="1" x14ac:dyDescent="0.35">
      <c r="A13" s="20" t="s">
        <v>6</v>
      </c>
      <c r="B13" s="21">
        <f>COUNTIF('Agenda 2026'!M2:M376,1)</f>
        <v>0</v>
      </c>
      <c r="C13" s="22"/>
      <c r="D13" s="6"/>
      <c r="E13" s="6"/>
      <c r="F13" s="6"/>
      <c r="G13" s="6"/>
      <c r="H13" s="6"/>
    </row>
    <row r="14" spans="1:8" ht="19.5" customHeight="1" x14ac:dyDescent="0.35">
      <c r="A14" s="23" t="s">
        <v>7</v>
      </c>
      <c r="B14" s="24" t="str">
        <f ca="1">IFERROR(IF(_xlfn.MINIFS('Mi agenda'!$A$7:$A$381,'Mi agenda'!$A$7:$A$381,"&gt;="&amp;TODAY())=0,"Sin datos",_xlfn.MINIFS('Mi agenda'!$A$7:$A$381,'Mi agenda'!$A$7:$A$381,"&gt;="&amp;TODAY())),"Sin datos")</f>
        <v>Sin datos</v>
      </c>
      <c r="C14" s="25"/>
      <c r="D14" s="6"/>
      <c r="E14" s="6"/>
      <c r="F14" s="6"/>
      <c r="G14" s="6"/>
      <c r="H14" s="6"/>
    </row>
    <row r="15" spans="1:8" ht="19.5" customHeight="1" x14ac:dyDescent="0.35">
      <c r="A15" s="26" t="s">
        <v>8</v>
      </c>
      <c r="B15" s="27" t="str">
        <f ca="1">IFERROR(IF(B14="Sin datos","",B14-TODAY()&amp;IF(B14-TODAY()=1," día"," días")),"")</f>
        <v/>
      </c>
      <c r="C15" s="22"/>
      <c r="D15" s="6"/>
      <c r="E15" s="6"/>
      <c r="F15" s="6"/>
      <c r="G15" s="6"/>
      <c r="H15" s="6"/>
    </row>
    <row r="16" spans="1:8" ht="61.5" customHeight="1" x14ac:dyDescent="0.35">
      <c r="A16" s="23" t="s">
        <v>9</v>
      </c>
      <c r="B16" s="5" t="str">
        <f t="array" aca="1" ref="B16" ca="1">IF(NOT(ISNUMBER($B$14)),"—",IF(COUNTIFS('Agenda 2026'!$Q$2:$Q$376,INT($B$14),'Agenda 2026'!$M$2:$M$376,1)=0,"—",IFERROR(INDEX('Agenda 2026'!$B$2:$B$376,MATCH(INT($B$14)*10+1,'Agenda 2026'!$S$2:$S$376,0)),"")&amp;IF(COUNTIFS('Agenda 2026'!$Q$2:$Q$376,INT($B$14),'Agenda 2026'!$M$2:$M$376,1)&gt;=2,", "&amp;IFERROR(INDEX('Agenda 2026'!$B$2:$B$376,MATCH(INT($B$14)*10+2,'Agenda 2026'!$S$2:$S$376,0)),""),"")&amp;IF(COUNTIFS('Agenda 2026'!$Q$2:$Q$376,INT($B$14),'Agenda 2026'!$M$2:$M$376,1)&gt;=3,", "&amp;IFERROR(INDEX('Agenda 2026'!$B$2:$B$376,MATCH(INT($B$14)*10+3,'Agenda 2026'!$S$2:$S$376,0)),""),"")&amp;IF(COUNTIFS('Agenda 2026'!$Q$2:$Q$376,INT($B$14),'Agenda 2026'!$M$2:$M$376,1)&gt;=4,", "&amp;IFERROR(INDEX('Agenda 2026'!$B$2:$B$376,MATCH(INT($B$14)*10+4,'Agenda 2026'!$S$2:$S$376,0)),""),"")&amp;IF(COUNTIFS('Agenda 2026'!$Q$2:$Q$376,INT($B$14),'Agenda 2026'!$M$2:$M$376,1)&gt;=5,", "&amp;IFERROR(INDEX('Agenda 2026'!$B$2:$B$376,MATCH(INT($B$14)*10+5,'Agenda 2026'!$S$2:$S$376,0)),""),"")&amp;IF(COUNTIFS('Agenda 2026'!$Q$2:$Q$376,INT($B$14),'Agenda 2026'!$M$2:$M$376,1)&gt;=6,", "&amp;IFERROR(INDEX('Agenda 2026'!$B$2:$B$376,MATCH(INT($B$14)*10+6,'Agenda 2026'!$S$2:$S$376,0)),""),"")&amp;IF(COUNTIFS('Agenda 2026'!$Q$2:$Q$376,INT($B$14),'Agenda 2026'!$M$2:$M$376,1)&gt;=7,", "&amp;IFERROR(INDEX('Agenda 2026'!$B$2:$B$376,MATCH(INT($B$14)*10+7,'Agenda 2026'!$S$2:$S$376,0)),""),"")&amp;IF(COUNTIFS('Agenda 2026'!$Q$2:$Q$376,INT($B$14),'Agenda 2026'!$M$2:$M$376,1)&gt;=8,", "&amp;IFERROR(INDEX('Agenda 2026'!$B$2:$B$376,MATCH(INT($B$14)*10+8,'Agenda 2026'!$S$2:$S$376,0)),""),"")&amp;IF(COUNTIFS('Agenda 2026'!$Q$2:$Q$376,INT($B$14),'Agenda 2026'!$M$2:$M$376,1)&gt;=9,", "&amp;IFERROR(INDEX('Agenda 2026'!$B$2:$B$376,MATCH(INT($B$14)*10+9,'Agenda 2026'!$S$2:$S$376,0)),""),"")&amp;IF(COUNTIFS('Agenda 2026'!$Q$2:$Q$376,INT($B$14),'Agenda 2026'!$M$2:$M$376,1)&gt;=10,", "&amp;IFERROR(INDEX('Agenda 2026'!$B$2:$B$376,MATCH(INT($B$14)*10+10,'Agenda 2026'!$S$2:$S$376,0)),""),"")&amp;IF(COUNTIFS('Agenda 2026'!$Q$2:$Q$376,INT($B$14),'Agenda 2026'!$M$2:$M$376,1)&gt;=11,", "&amp;IFERROR(INDEX('Agenda 2026'!$B$2:$B$376,MATCH(INT($B$14)*10+11,'Agenda 2026'!$S$2:$S$376,0)),""),"")&amp;IF(COUNTIFS('Agenda 2026'!$Q$2:$Q$376,INT($B$14),'Agenda 2026'!$M$2:$M$376,1)&gt;=12,", "&amp;IFERROR(INDEX('Agenda 2026'!$B$2:$B$376,MATCH(INT($B$14)*10+12,'Agenda 2026'!$S$2:$S$376,0)),""),"")))</f>
        <v>—</v>
      </c>
      <c r="C16" s="5"/>
      <c r="D16" s="6"/>
      <c r="E16" s="6"/>
      <c r="F16" s="6"/>
      <c r="G16" s="6"/>
      <c r="H16" s="6"/>
    </row>
    <row r="17" spans="1:8" ht="19.5" customHeight="1" x14ac:dyDescent="0.35">
      <c r="A17" s="26" t="s">
        <v>10</v>
      </c>
      <c r="B17" s="27">
        <f ca="1">COUNTIFS('Mi agenda'!$A$7:$A$381,"&gt;="&amp;TODAY(),'Mi agenda'!$A$7:$A$381,"&lt;="&amp;TODAY()+7)</f>
        <v>0</v>
      </c>
      <c r="C17" s="28"/>
      <c r="D17" s="6"/>
      <c r="E17" s="6"/>
      <c r="F17" s="6"/>
      <c r="G17" s="6"/>
      <c r="H17" s="6"/>
    </row>
    <row r="18" spans="1:8" ht="19.5" customHeight="1" x14ac:dyDescent="0.35">
      <c r="A18" s="23" t="s">
        <v>11</v>
      </c>
      <c r="B18" s="29">
        <f ca="1">COUNTIFS('Mi agenda'!$A$7:$A$381,"&gt;="&amp;DATE(YEAR(TODAY()),MONTH(TODAY()),1),'Mi agenda'!$A$7:$A$381,"&lt;"&amp;DATE(YEAR(TODAY()),MONTH(TODAY())+1,1))</f>
        <v>0</v>
      </c>
      <c r="C18" s="25"/>
      <c r="D18" s="6"/>
      <c r="E18" s="6"/>
      <c r="F18" s="6"/>
      <c r="G18" s="6"/>
      <c r="H18" s="6"/>
    </row>
    <row r="19" spans="1:8" ht="19.5" customHeight="1" x14ac:dyDescent="0.35">
      <c r="A19" s="26" t="s">
        <v>12</v>
      </c>
      <c r="B19" s="27">
        <f>COUNTA('Agenda 2026'!A2:A376)</f>
        <v>375</v>
      </c>
      <c r="C19" s="22"/>
      <c r="D19" s="6"/>
      <c r="E19" s="6"/>
      <c r="F19" s="6"/>
      <c r="G19" s="6"/>
      <c r="H19" s="6"/>
    </row>
    <row r="20" spans="1:8" ht="19.5" customHeight="1" x14ac:dyDescent="0.35">
      <c r="A20" s="23" t="s">
        <v>13</v>
      </c>
      <c r="B20" s="29" t="s">
        <v>14</v>
      </c>
      <c r="C20" s="25"/>
      <c r="D20" s="6"/>
      <c r="E20" s="6"/>
      <c r="F20" s="6"/>
      <c r="G20" s="6"/>
      <c r="H20" s="6"/>
    </row>
    <row r="21" spans="1:8" ht="13.5" customHeight="1" x14ac:dyDescent="0.35">
      <c r="A21" s="17"/>
      <c r="B21" s="17"/>
      <c r="C21" s="17"/>
      <c r="D21" s="17"/>
      <c r="E21" s="17"/>
      <c r="F21" s="17"/>
      <c r="G21" s="17"/>
      <c r="H21" s="17"/>
    </row>
    <row r="22" spans="1:8" ht="25.5" customHeight="1" x14ac:dyDescent="0.35">
      <c r="A22" s="4" t="s">
        <v>15</v>
      </c>
      <c r="B22" s="4"/>
      <c r="C22" s="4"/>
      <c r="D22" s="3" t="s">
        <v>16</v>
      </c>
      <c r="E22" s="3"/>
      <c r="F22" s="2" t="s">
        <v>17</v>
      </c>
      <c r="G22" s="2"/>
      <c r="H22" s="2"/>
    </row>
    <row r="23" spans="1:8" ht="13.5" customHeight="1" x14ac:dyDescent="0.35">
      <c r="A23" s="17"/>
      <c r="B23" s="17"/>
      <c r="C23" s="17"/>
      <c r="D23" s="17"/>
      <c r="E23" s="17"/>
      <c r="F23" s="17"/>
      <c r="G23" s="17"/>
      <c r="H23" s="17"/>
    </row>
  </sheetData>
  <sheetProtection algorithmName="SHA-512" hashValue="n3Ym2aaqQTRzW3MV9LXaN9hV4hwQqfqr1eCSLD2MlG5D30AGICz7KgrKe4oy4ZyM9c3vIWoHp3PPKXFmCKZMeQ==" saltValue="67xMk8phuQvtkTkYRd6JEA==" spinCount="100000" sheet="1" objects="1" scenarios="1" autoFilter="0"/>
  <mergeCells count="8">
    <mergeCell ref="A22:C22"/>
    <mergeCell ref="D22:E22"/>
    <mergeCell ref="F22:H22"/>
    <mergeCell ref="A7:H8"/>
    <mergeCell ref="A11:C11"/>
    <mergeCell ref="D11:H11"/>
    <mergeCell ref="D12:H20"/>
    <mergeCell ref="B16:C16"/>
  </mergeCells>
  <hyperlinks>
    <hyperlink ref="A22" location="'Configuración'!A1" display="→  Empezar: completar Configuración" xr:uid="{00000000-0004-0000-0000-000000000000}"/>
    <hyperlink ref="D22" location="'Mi agenda'!A1" display="→  Ver Mi agenda" xr:uid="{00000000-0004-0000-0000-000001000000}"/>
    <hyperlink ref="F22" location="Calendario!A1" display="→  Ver Calendario" xr:uid="{00000000-0004-0000-0000-000002000000}"/>
  </hyperlinks>
  <pageMargins left="0.4" right="0.4" top="0.5" bottom="0.5" header="0.511811023622047" footer="0.511811023622047"/>
  <pageSetup paperSize="9" scale="75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zoomScaleNormal="100" workbookViewId="0">
      <selection activeCell="B6" sqref="B6"/>
    </sheetView>
  </sheetViews>
  <sheetFormatPr baseColWidth="10" defaultColWidth="14.54296875" defaultRowHeight="14.5" x14ac:dyDescent="0.35"/>
  <cols>
    <col min="1" max="1" width="42" customWidth="1"/>
    <col min="2" max="2" width="14" customWidth="1"/>
    <col min="3" max="6" width="20" customWidth="1"/>
  </cols>
  <sheetData>
    <row r="1" spans="1:6" ht="30" customHeight="1" x14ac:dyDescent="0.35">
      <c r="A1" s="30"/>
      <c r="B1" s="30"/>
      <c r="C1" s="30"/>
      <c r="D1" s="30"/>
      <c r="E1" s="30"/>
      <c r="F1" s="30"/>
    </row>
    <row r="2" spans="1:6" ht="30" customHeight="1" x14ac:dyDescent="0.35">
      <c r="A2" s="30"/>
      <c r="B2" s="30"/>
      <c r="C2" s="30"/>
      <c r="D2" s="30"/>
      <c r="E2" s="30"/>
      <c r="F2" s="30"/>
    </row>
    <row r="3" spans="1:6" ht="30" customHeight="1" x14ac:dyDescent="0.35">
      <c r="A3" s="12" t="s">
        <v>18</v>
      </c>
      <c r="B3" s="12"/>
      <c r="C3" s="12"/>
      <c r="D3" s="12"/>
      <c r="E3" s="12"/>
      <c r="F3" s="12"/>
    </row>
    <row r="4" spans="1:6" ht="12" customHeight="1" x14ac:dyDescent="0.35">
      <c r="A4" s="12"/>
      <c r="B4" s="12"/>
      <c r="C4" s="12"/>
      <c r="D4" s="12"/>
      <c r="E4" s="12"/>
      <c r="F4" s="12"/>
    </row>
    <row r="5" spans="1:6" ht="4.5" customHeight="1" x14ac:dyDescent="0.35">
      <c r="A5" s="31"/>
      <c r="B5" s="31"/>
      <c r="C5" s="31"/>
      <c r="D5" s="31"/>
      <c r="E5" s="31"/>
      <c r="F5" s="31"/>
    </row>
    <row r="6" spans="1:6" ht="21.75" customHeight="1" x14ac:dyDescent="0.35">
      <c r="A6" s="32" t="s">
        <v>19</v>
      </c>
      <c r="B6" s="33"/>
      <c r="C6" s="34" t="s">
        <v>20</v>
      </c>
      <c r="D6" s="17"/>
      <c r="E6" s="17"/>
      <c r="F6" s="17"/>
    </row>
    <row r="7" spans="1:6" ht="19.5" customHeight="1" x14ac:dyDescent="0.35">
      <c r="A7" s="35" t="s">
        <v>21</v>
      </c>
      <c r="B7" s="36" t="str">
        <f>IF(B6="","",RIGHT(B6,1))</f>
        <v/>
      </c>
      <c r="C7" s="17"/>
      <c r="D7" s="17"/>
      <c r="E7" s="17"/>
      <c r="F7" s="17"/>
    </row>
    <row r="8" spans="1:6" ht="13.5" customHeight="1" x14ac:dyDescent="0.35">
      <c r="A8" s="17"/>
      <c r="B8" s="17"/>
      <c r="C8" s="17"/>
      <c r="D8" s="17"/>
      <c r="E8" s="17"/>
      <c r="F8" s="17"/>
    </row>
    <row r="9" spans="1:6" ht="21.75" customHeight="1" x14ac:dyDescent="0.35">
      <c r="A9" s="37" t="s">
        <v>22</v>
      </c>
      <c r="B9" s="38" t="s">
        <v>23</v>
      </c>
      <c r="C9" s="17"/>
      <c r="D9" s="17"/>
      <c r="E9" s="17"/>
      <c r="F9" s="17"/>
    </row>
    <row r="10" spans="1:6" ht="21.75" customHeight="1" x14ac:dyDescent="0.35">
      <c r="A10" s="39" t="s">
        <v>24</v>
      </c>
      <c r="B10" s="33" t="s">
        <v>25</v>
      </c>
      <c r="C10" s="17"/>
      <c r="D10" s="17"/>
      <c r="E10" s="17"/>
      <c r="F10" s="17"/>
    </row>
    <row r="11" spans="1:6" ht="21.75" customHeight="1" x14ac:dyDescent="0.35">
      <c r="A11" s="40" t="s">
        <v>26</v>
      </c>
      <c r="B11" s="33" t="s">
        <v>25</v>
      </c>
      <c r="C11" s="17"/>
      <c r="D11" s="17"/>
      <c r="E11" s="17"/>
      <c r="F11" s="17"/>
    </row>
    <row r="12" spans="1:6" ht="21.75" customHeight="1" x14ac:dyDescent="0.35">
      <c r="A12" s="39" t="s">
        <v>27</v>
      </c>
      <c r="B12" s="33" t="s">
        <v>25</v>
      </c>
      <c r="C12" s="17"/>
      <c r="D12" s="17"/>
      <c r="E12" s="17"/>
      <c r="F12" s="17"/>
    </row>
    <row r="13" spans="1:6" ht="21.75" customHeight="1" x14ac:dyDescent="0.35">
      <c r="A13" s="40" t="s">
        <v>28</v>
      </c>
      <c r="B13" s="33" t="s">
        <v>25</v>
      </c>
      <c r="C13" s="17"/>
      <c r="D13" s="17"/>
      <c r="E13" s="17"/>
      <c r="F13" s="17"/>
    </row>
    <row r="14" spans="1:6" ht="21.75" customHeight="1" x14ac:dyDescent="0.35">
      <c r="A14" s="39" t="s">
        <v>29</v>
      </c>
      <c r="B14" s="33" t="s">
        <v>25</v>
      </c>
      <c r="C14" s="17"/>
      <c r="D14" s="17"/>
      <c r="E14" s="17"/>
      <c r="F14" s="17"/>
    </row>
    <row r="15" spans="1:6" ht="21.75" customHeight="1" x14ac:dyDescent="0.35">
      <c r="A15" s="40" t="s">
        <v>30</v>
      </c>
      <c r="B15" s="33" t="s">
        <v>25</v>
      </c>
      <c r="C15" s="17"/>
      <c r="D15" s="17"/>
      <c r="E15" s="17"/>
      <c r="F15" s="17"/>
    </row>
    <row r="16" spans="1:6" ht="21.75" customHeight="1" x14ac:dyDescent="0.35">
      <c r="A16" s="39" t="s">
        <v>31</v>
      </c>
      <c r="B16" s="33" t="s">
        <v>25</v>
      </c>
      <c r="C16" s="17"/>
      <c r="D16" s="17"/>
      <c r="E16" s="17"/>
      <c r="F16" s="17"/>
    </row>
    <row r="17" spans="1:6" ht="26.25" customHeight="1" x14ac:dyDescent="0.35">
      <c r="A17" s="40" t="s">
        <v>32</v>
      </c>
      <c r="B17" s="33" t="s">
        <v>25</v>
      </c>
      <c r="C17" s="17"/>
      <c r="D17" s="17"/>
      <c r="E17" s="17"/>
      <c r="F17" s="17"/>
    </row>
    <row r="18" spans="1:6" ht="21.75" customHeight="1" x14ac:dyDescent="0.35">
      <c r="A18" s="39" t="s">
        <v>33</v>
      </c>
      <c r="B18" s="33" t="s">
        <v>25</v>
      </c>
      <c r="C18" s="17"/>
      <c r="D18" s="17"/>
      <c r="E18" s="17"/>
      <c r="F18" s="17"/>
    </row>
    <row r="19" spans="1:6" ht="13.5" customHeight="1" x14ac:dyDescent="0.35">
      <c r="A19" s="17"/>
      <c r="B19" s="17"/>
      <c r="C19" s="17"/>
      <c r="D19" s="17"/>
      <c r="E19" s="17"/>
      <c r="F19" s="17"/>
    </row>
    <row r="20" spans="1:6" ht="60" customHeight="1" x14ac:dyDescent="0.35">
      <c r="A20" s="1" t="s">
        <v>34</v>
      </c>
      <c r="B20" s="1"/>
      <c r="C20" s="1"/>
      <c r="D20" s="1"/>
      <c r="E20" s="1"/>
      <c r="F20" s="1"/>
    </row>
    <row r="21" spans="1:6" ht="13.5" customHeight="1" x14ac:dyDescent="0.35">
      <c r="A21" s="1"/>
      <c r="B21" s="1"/>
      <c r="C21" s="1"/>
      <c r="D21" s="1"/>
      <c r="E21" s="1"/>
      <c r="F21" s="1"/>
    </row>
    <row r="22" spans="1:6" ht="13.5" customHeight="1" x14ac:dyDescent="0.35">
      <c r="A22" s="1"/>
      <c r="B22" s="1"/>
      <c r="C22" s="1"/>
      <c r="D22" s="1"/>
      <c r="E22" s="1"/>
      <c r="F22" s="1"/>
    </row>
  </sheetData>
  <sheetProtection algorithmName="SHA-512" hashValue="PAEIyozS87ORafEHmmiao+3RUPm68NH3OHV7y46YoXIZLyq6ykXMVfFKa3InOk7oBv7pmT0b3yrFPExcOn4TnA==" saltValue="bONTGjGnLy+RCx2+Kdqa1Q==" spinCount="100000" sheet="1" objects="1" scenarios="1" autoFilter="0"/>
  <mergeCells count="2">
    <mergeCell ref="A3:F4"/>
    <mergeCell ref="A20:F22"/>
  </mergeCells>
  <conditionalFormatting sqref="B10:B18">
    <cfRule type="containsText" dxfId="44" priority="2" operator="containsText" text="Sí">
      <formula>NOT(ISERROR(SEARCH("Sí",B10)))</formula>
    </cfRule>
    <cfRule type="containsText" dxfId="43" priority="3" operator="containsText" text="No">
      <formula>NOT(ISERROR(SEARCH("No",B10)))</formula>
    </cfRule>
  </conditionalFormatting>
  <dataValidations count="1">
    <dataValidation type="list" allowBlank="1" sqref="B10:B18" xr:uid="{00000000-0002-0000-0100-000000000000}">
      <formula1>"Sí,No"</formula1>
      <formula2>0</formula2>
    </dataValidation>
  </dataValidations>
  <pageMargins left="0.4" right="0.4" top="0.5" bottom="0.5" header="0.511811023622047" footer="0.511811023622047"/>
  <pageSetup paperSize="9" scale="85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02"/>
  <sheetViews>
    <sheetView showGridLines="0" zoomScaleNormal="100" workbookViewId="0">
      <pane ySplit="6" topLeftCell="A18" activePane="bottomLeft" state="frozen"/>
      <selection pane="bottomLeft" activeCell="A3" sqref="A3:M4"/>
    </sheetView>
  </sheetViews>
  <sheetFormatPr baseColWidth="10" defaultColWidth="14.54296875" defaultRowHeight="14.5" x14ac:dyDescent="0.35"/>
  <cols>
    <col min="1" max="1" width="12" customWidth="1"/>
    <col min="2" max="2" width="20" customWidth="1"/>
    <col min="3" max="3" width="24" customWidth="1"/>
    <col min="4" max="4" width="32" customWidth="1"/>
    <col min="5" max="5" width="26" customWidth="1"/>
    <col min="6" max="6" width="16" customWidth="1"/>
    <col min="7" max="7" width="12" customWidth="1"/>
    <col min="8" max="8" width="20" customWidth="1"/>
    <col min="9" max="9" width="14" customWidth="1"/>
    <col min="10" max="10" width="16" customWidth="1"/>
    <col min="11" max="11" width="13" hidden="1" customWidth="1"/>
    <col min="12" max="12" width="34" customWidth="1"/>
    <col min="13" max="13" width="7" hidden="1" customWidth="1"/>
    <col min="14" max="26" width="8.81640625" customWidth="1"/>
  </cols>
  <sheetData>
    <row r="1" spans="1:13" ht="30" customHeight="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0" customHeight="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30" customHeight="1" x14ac:dyDescent="0.35">
      <c r="A3" s="12" t="s">
        <v>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4.5" customHeigh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1.5" customHeight="1" x14ac:dyDescent="0.35">
      <c r="A6" s="41" t="s">
        <v>36</v>
      </c>
      <c r="B6" s="41" t="s">
        <v>37</v>
      </c>
      <c r="C6" s="41" t="s">
        <v>38</v>
      </c>
      <c r="D6" s="41" t="s">
        <v>39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1" t="s">
        <v>45</v>
      </c>
      <c r="K6" s="41" t="s">
        <v>46</v>
      </c>
      <c r="L6" s="41" t="s">
        <v>47</v>
      </c>
      <c r="M6" s="41" t="s">
        <v>48</v>
      </c>
    </row>
    <row r="7" spans="1:13" ht="42" customHeight="1" x14ac:dyDescent="0.35">
      <c r="A7" s="42" t="str">
        <f t="array" ref="A7">IFERROR(INDEX('Agenda 2026'!A$2:A$376,MATCH(ROWS($A$7:$A7),'Agenda 2026'!$N$2:$N$376,0)),"")</f>
        <v/>
      </c>
      <c r="B7" s="43" t="str">
        <f t="array" ref="B7">IFERROR(INDEX('Agenda 2026'!P$2:P$376,MATCH(ROWS($A$7:$A7),'Agenda 2026'!$N$2:$N$376,0)),"")</f>
        <v/>
      </c>
      <c r="C7" s="44" t="str">
        <f t="array" ref="C7">IFERROR(INDEX('Agenda 2026'!B$2:B$376,MATCH(ROWS($A$7:$A7),'Agenda 2026'!$N$2:$N$376,0)),"")</f>
        <v/>
      </c>
      <c r="D7" s="44" t="str">
        <f t="array" ref="D7">IFERROR(INDEX('Agenda 2026'!C$2:C$376,MATCH(ROWS($A$7:$A7),'Agenda 2026'!$N$2:$N$376,0)),"")</f>
        <v/>
      </c>
      <c r="E7" s="44" t="str">
        <f t="array" ref="E7">IFERROR(INDEX('Agenda 2026'!D$2:D$376,MATCH(ROWS($A$7:$A7),'Agenda 2026'!$N$2:$N$376,0)),"")</f>
        <v/>
      </c>
      <c r="F7" s="45" t="str">
        <f t="array" ref="F7">IFERROR(INDEX('Agenda 2026'!E$2:E$376,MATCH(ROWS($A$7:$A7),'Agenda 2026'!$N$2:$N$376,0)),"")</f>
        <v/>
      </c>
      <c r="G7" s="44" t="str">
        <f t="array" ref="G7">IFERROR(INDEX('Agenda 2026'!F$2:F$376,MATCH(ROWS($A$7:$A7),'Agenda 2026'!$N$2:$N$376,0)),"")</f>
        <v/>
      </c>
      <c r="H7" s="44" t="str">
        <f t="array" ref="H7">IFERROR(INDEX('Agenda 2026'!G$2:G$376,MATCH(ROWS($A$7:$A7),'Agenda 2026'!$N$2:$N$376,0)),"")</f>
        <v/>
      </c>
      <c r="I7" s="46" t="str">
        <f t="array" ref="I7">IFERROR(INDEX('Agenda 2026'!H$2:H$376,MATCH(ROWS($A$7:$A7),'Agenda 2026'!$N$2:$N$376,0)),"")</f>
        <v/>
      </c>
      <c r="J7" s="47" t="s">
        <v>49</v>
      </c>
      <c r="K7" s="48" t="str">
        <f t="array" ref="K7">IFERROR(HYPERLINK(INDEX('Agenda 2026'!J$2:J$376,MATCH(ROWS($A$7:$A7),'Agenda 2026'!$N$2:$N$376,0)),"Ver fuente ↗"),"")</f>
        <v/>
      </c>
      <c r="L7" s="49" t="str">
        <f>IFERROR(INDEX('Agenda 2026'!K$2:K$376,MATCH(ROWS($A$7:$A7),'Agenda 2026'!$N$2:$N$376,0)),"")</f>
        <v/>
      </c>
      <c r="M7" s="50" t="str">
        <f t="array" ref="M7">IFERROR(INDEX('Agenda 2026'!O$2:O$376,MATCH(ROWS($A$7:$A7),'Agenda 2026'!$N$2:$N$376,0)),"")</f>
        <v/>
      </c>
    </row>
    <row r="8" spans="1:13" ht="42" customHeight="1" x14ac:dyDescent="0.35">
      <c r="A8" s="42" t="str">
        <f t="array" ref="A8">IFERROR(INDEX('Agenda 2026'!A$2:A$376,MATCH(ROWS($A$7:$A8),'Agenda 2026'!$N$2:$N$376,0)),"")</f>
        <v/>
      </c>
      <c r="B8" s="43" t="str">
        <f t="array" ref="B8">IFERROR(INDEX('Agenda 2026'!P$2:P$376,MATCH(ROWS($A$7:$A8),'Agenda 2026'!$N$2:$N$376,0)),"")</f>
        <v/>
      </c>
      <c r="C8" s="44" t="str">
        <f t="array" ref="C8">IFERROR(INDEX('Agenda 2026'!B$2:B$376,MATCH(ROWS($A$7:$A8),'Agenda 2026'!$N$2:$N$376,0)),"")</f>
        <v/>
      </c>
      <c r="D8" s="44" t="str">
        <f t="array" ref="D8">IFERROR(INDEX('Agenda 2026'!C$2:C$376,MATCH(ROWS($A$7:$A8),'Agenda 2026'!$N$2:$N$376,0)),"")</f>
        <v/>
      </c>
      <c r="E8" s="44" t="str">
        <f t="array" ref="E8">IFERROR(INDEX('Agenda 2026'!D$2:D$376,MATCH(ROWS($A$7:$A8),'Agenda 2026'!$N$2:$N$376,0)),"")</f>
        <v/>
      </c>
      <c r="F8" s="45" t="str">
        <f t="array" ref="F8">IFERROR(INDEX('Agenda 2026'!E$2:E$376,MATCH(ROWS($A$7:$A8),'Agenda 2026'!$N$2:$N$376,0)),"")</f>
        <v/>
      </c>
      <c r="G8" s="44" t="str">
        <f t="array" ref="G8">IFERROR(INDEX('Agenda 2026'!F$2:F$376,MATCH(ROWS($A$7:$A8),'Agenda 2026'!$N$2:$N$376,0)),"")</f>
        <v/>
      </c>
      <c r="H8" s="44" t="str">
        <f t="array" ref="H8">IFERROR(INDEX('Agenda 2026'!G$2:G$376,MATCH(ROWS($A$7:$A8),'Agenda 2026'!$N$2:$N$376,0)),"")</f>
        <v/>
      </c>
      <c r="I8" s="46" t="str">
        <f t="array" ref="I8">IFERROR(INDEX('Agenda 2026'!H$2:H$376,MATCH(ROWS($A$7:$A8),'Agenda 2026'!$N$2:$N$376,0)),"")</f>
        <v/>
      </c>
      <c r="J8" s="47" t="s">
        <v>49</v>
      </c>
      <c r="K8" s="48" t="str">
        <f t="array" ref="K8">IFERROR(HYPERLINK(INDEX('Agenda 2026'!J$2:J$376,MATCH(ROWS($A$7:$A8),'Agenda 2026'!$N$2:$N$376,0)),"Ver fuente ↗"),"")</f>
        <v/>
      </c>
      <c r="L8" s="49" t="str">
        <f>IFERROR(INDEX('Agenda 2026'!K$2:K$376,MATCH(ROWS($A$7:$A8),'Agenda 2026'!$N$2:$N$376,0)),"")</f>
        <v/>
      </c>
      <c r="M8" s="50" t="str">
        <f t="array" ref="M8">IFERROR(INDEX('Agenda 2026'!O$2:O$376,MATCH(ROWS($A$7:$A8),'Agenda 2026'!$N$2:$N$376,0)),"")</f>
        <v/>
      </c>
    </row>
    <row r="9" spans="1:13" ht="42" customHeight="1" x14ac:dyDescent="0.35">
      <c r="A9" s="42" t="str">
        <f t="array" ref="A9">IFERROR(INDEX('Agenda 2026'!A$2:A$376,MATCH(ROWS($A$7:$A9),'Agenda 2026'!$N$2:$N$376,0)),"")</f>
        <v/>
      </c>
      <c r="B9" s="43" t="str">
        <f t="array" ref="B9">IFERROR(INDEX('Agenda 2026'!P$2:P$376,MATCH(ROWS($A$7:$A9),'Agenda 2026'!$N$2:$N$376,0)),"")</f>
        <v/>
      </c>
      <c r="C9" s="44" t="str">
        <f t="array" ref="C9">IFERROR(INDEX('Agenda 2026'!B$2:B$376,MATCH(ROWS($A$7:$A9),'Agenda 2026'!$N$2:$N$376,0)),"")</f>
        <v/>
      </c>
      <c r="D9" s="44" t="str">
        <f t="array" ref="D9">IFERROR(INDEX('Agenda 2026'!C$2:C$376,MATCH(ROWS($A$7:$A9),'Agenda 2026'!$N$2:$N$376,0)),"")</f>
        <v/>
      </c>
      <c r="E9" s="44" t="str">
        <f t="array" ref="E9">IFERROR(INDEX('Agenda 2026'!D$2:D$376,MATCH(ROWS($A$7:$A9),'Agenda 2026'!$N$2:$N$376,0)),"")</f>
        <v/>
      </c>
      <c r="F9" s="45" t="str">
        <f t="array" ref="F9">IFERROR(INDEX('Agenda 2026'!E$2:E$376,MATCH(ROWS($A$7:$A9),'Agenda 2026'!$N$2:$N$376,0)),"")</f>
        <v/>
      </c>
      <c r="G9" s="44" t="str">
        <f t="array" ref="G9">IFERROR(INDEX('Agenda 2026'!F$2:F$376,MATCH(ROWS($A$7:$A9),'Agenda 2026'!$N$2:$N$376,0)),"")</f>
        <v/>
      </c>
      <c r="H9" s="44" t="str">
        <f t="array" ref="H9">IFERROR(INDEX('Agenda 2026'!G$2:G$376,MATCH(ROWS($A$7:$A9),'Agenda 2026'!$N$2:$N$376,0)),"")</f>
        <v/>
      </c>
      <c r="I9" s="46" t="str">
        <f t="array" ref="I9">IFERROR(INDEX('Agenda 2026'!H$2:H$376,MATCH(ROWS($A$7:$A9),'Agenda 2026'!$N$2:$N$376,0)),"")</f>
        <v/>
      </c>
      <c r="J9" s="47" t="s">
        <v>49</v>
      </c>
      <c r="K9" s="48" t="str">
        <f t="array" ref="K9">IFERROR(HYPERLINK(INDEX('Agenda 2026'!J$2:J$376,MATCH(ROWS($A$7:$A9),'Agenda 2026'!$N$2:$N$376,0)),"Ver fuente ↗"),"")</f>
        <v/>
      </c>
      <c r="L9" s="49" t="str">
        <f>IFERROR(INDEX('Agenda 2026'!K$2:K$376,MATCH(ROWS($A$7:$A9),'Agenda 2026'!$N$2:$N$376,0)),"")</f>
        <v/>
      </c>
      <c r="M9" s="50" t="str">
        <f t="array" ref="M9">IFERROR(INDEX('Agenda 2026'!O$2:O$376,MATCH(ROWS($A$7:$A9),'Agenda 2026'!$N$2:$N$376,0)),"")</f>
        <v/>
      </c>
    </row>
    <row r="10" spans="1:13" ht="42" customHeight="1" x14ac:dyDescent="0.35">
      <c r="A10" s="42" t="str">
        <f t="array" ref="A10">IFERROR(INDEX('Agenda 2026'!A$2:A$376,MATCH(ROWS($A$7:$A10),'Agenda 2026'!$N$2:$N$376,0)),"")</f>
        <v/>
      </c>
      <c r="B10" s="43" t="str">
        <f t="array" ref="B10">IFERROR(INDEX('Agenda 2026'!P$2:P$376,MATCH(ROWS($A$7:$A10),'Agenda 2026'!$N$2:$N$376,0)),"")</f>
        <v/>
      </c>
      <c r="C10" s="44" t="str">
        <f t="array" ref="C10">IFERROR(INDEX('Agenda 2026'!B$2:B$376,MATCH(ROWS($A$7:$A10),'Agenda 2026'!$N$2:$N$376,0)),"")</f>
        <v/>
      </c>
      <c r="D10" s="44" t="str">
        <f t="array" ref="D10">IFERROR(INDEX('Agenda 2026'!C$2:C$376,MATCH(ROWS($A$7:$A10),'Agenda 2026'!$N$2:$N$376,0)),"")</f>
        <v/>
      </c>
      <c r="E10" s="44" t="str">
        <f t="array" ref="E10">IFERROR(INDEX('Agenda 2026'!D$2:D$376,MATCH(ROWS($A$7:$A10),'Agenda 2026'!$N$2:$N$376,0)),"")</f>
        <v/>
      </c>
      <c r="F10" s="45" t="str">
        <f t="array" ref="F10">IFERROR(INDEX('Agenda 2026'!E$2:E$376,MATCH(ROWS($A$7:$A10),'Agenda 2026'!$N$2:$N$376,0)),"")</f>
        <v/>
      </c>
      <c r="G10" s="44" t="str">
        <f t="array" ref="G10">IFERROR(INDEX('Agenda 2026'!F$2:F$376,MATCH(ROWS($A$7:$A10),'Agenda 2026'!$N$2:$N$376,0)),"")</f>
        <v/>
      </c>
      <c r="H10" s="44" t="str">
        <f t="array" ref="H10">IFERROR(INDEX('Agenda 2026'!G$2:G$376,MATCH(ROWS($A$7:$A10),'Agenda 2026'!$N$2:$N$376,0)),"")</f>
        <v/>
      </c>
      <c r="I10" s="46" t="str">
        <f t="array" ref="I10">IFERROR(INDEX('Agenda 2026'!H$2:H$376,MATCH(ROWS($A$7:$A10),'Agenda 2026'!$N$2:$N$376,0)),"")</f>
        <v/>
      </c>
      <c r="J10" s="47" t="s">
        <v>49</v>
      </c>
      <c r="K10" s="48" t="str">
        <f t="array" ref="K10">IFERROR(HYPERLINK(INDEX('Agenda 2026'!J$2:J$376,MATCH(ROWS($A$7:$A10),'Agenda 2026'!$N$2:$N$376,0)),"Ver fuente ↗"),"")</f>
        <v/>
      </c>
      <c r="L10" s="49" t="str">
        <f>IFERROR(INDEX('Agenda 2026'!K$2:K$376,MATCH(ROWS($A$7:$A10),'Agenda 2026'!$N$2:$N$376,0)),"")</f>
        <v/>
      </c>
      <c r="M10" s="50" t="str">
        <f t="array" ref="M10">IFERROR(INDEX('Agenda 2026'!O$2:O$376,MATCH(ROWS($A$7:$A10),'Agenda 2026'!$N$2:$N$376,0)),"")</f>
        <v/>
      </c>
    </row>
    <row r="11" spans="1:13" ht="42" customHeight="1" x14ac:dyDescent="0.35">
      <c r="A11" s="42" t="str">
        <f t="array" ref="A11">IFERROR(INDEX('Agenda 2026'!A$2:A$376,MATCH(ROWS($A$7:$A11),'Agenda 2026'!$N$2:$N$376,0)),"")</f>
        <v/>
      </c>
      <c r="B11" s="43" t="str">
        <f t="array" ref="B11">IFERROR(INDEX('Agenda 2026'!P$2:P$376,MATCH(ROWS($A$7:$A11),'Agenda 2026'!$N$2:$N$376,0)),"")</f>
        <v/>
      </c>
      <c r="C11" s="44" t="str">
        <f t="array" ref="C11">IFERROR(INDEX('Agenda 2026'!B$2:B$376,MATCH(ROWS($A$7:$A11),'Agenda 2026'!$N$2:$N$376,0)),"")</f>
        <v/>
      </c>
      <c r="D11" s="44" t="str">
        <f t="array" ref="D11">IFERROR(INDEX('Agenda 2026'!C$2:C$376,MATCH(ROWS($A$7:$A11),'Agenda 2026'!$N$2:$N$376,0)),"")</f>
        <v/>
      </c>
      <c r="E11" s="44" t="str">
        <f t="array" ref="E11">IFERROR(INDEX('Agenda 2026'!D$2:D$376,MATCH(ROWS($A$7:$A11),'Agenda 2026'!$N$2:$N$376,0)),"")</f>
        <v/>
      </c>
      <c r="F11" s="45" t="str">
        <f t="array" ref="F11">IFERROR(INDEX('Agenda 2026'!E$2:E$376,MATCH(ROWS($A$7:$A11),'Agenda 2026'!$N$2:$N$376,0)),"")</f>
        <v/>
      </c>
      <c r="G11" s="44" t="str">
        <f t="array" ref="G11">IFERROR(INDEX('Agenda 2026'!F$2:F$376,MATCH(ROWS($A$7:$A11),'Agenda 2026'!$N$2:$N$376,0)),"")</f>
        <v/>
      </c>
      <c r="H11" s="44" t="str">
        <f t="array" ref="H11">IFERROR(INDEX('Agenda 2026'!G$2:G$376,MATCH(ROWS($A$7:$A11),'Agenda 2026'!$N$2:$N$376,0)),"")</f>
        <v/>
      </c>
      <c r="I11" s="46" t="str">
        <f t="array" ref="I11">IFERROR(INDEX('Agenda 2026'!H$2:H$376,MATCH(ROWS($A$7:$A11),'Agenda 2026'!$N$2:$N$376,0)),"")</f>
        <v/>
      </c>
      <c r="J11" s="47" t="s">
        <v>49</v>
      </c>
      <c r="K11" s="48" t="str">
        <f t="array" ref="K11">IFERROR(HYPERLINK(INDEX('Agenda 2026'!J$2:J$376,MATCH(ROWS($A$7:$A11),'Agenda 2026'!$N$2:$N$376,0)),"Ver fuente ↗"),"")</f>
        <v/>
      </c>
      <c r="L11" s="49" t="str">
        <f>IFERROR(INDEX('Agenda 2026'!K$2:K$376,MATCH(ROWS($A$7:$A11),'Agenda 2026'!$N$2:$N$376,0)),"")</f>
        <v/>
      </c>
      <c r="M11" s="50" t="str">
        <f t="array" ref="M11">IFERROR(INDEX('Agenda 2026'!O$2:O$376,MATCH(ROWS($A$7:$A11),'Agenda 2026'!$N$2:$N$376,0)),"")</f>
        <v/>
      </c>
    </row>
    <row r="12" spans="1:13" ht="42" customHeight="1" x14ac:dyDescent="0.35">
      <c r="A12" s="42" t="str">
        <f t="array" ref="A12">IFERROR(INDEX('Agenda 2026'!A$2:A$376,MATCH(ROWS($A$7:$A12),'Agenda 2026'!$N$2:$N$376,0)),"")</f>
        <v/>
      </c>
      <c r="B12" s="43" t="str">
        <f t="array" ref="B12">IFERROR(INDEX('Agenda 2026'!P$2:P$376,MATCH(ROWS($A$7:$A12),'Agenda 2026'!$N$2:$N$376,0)),"")</f>
        <v/>
      </c>
      <c r="C12" s="44" t="str">
        <f t="array" ref="C12">IFERROR(INDEX('Agenda 2026'!B$2:B$376,MATCH(ROWS($A$7:$A12),'Agenda 2026'!$N$2:$N$376,0)),"")</f>
        <v/>
      </c>
      <c r="D12" s="44" t="str">
        <f t="array" ref="D12">IFERROR(INDEX('Agenda 2026'!C$2:C$376,MATCH(ROWS($A$7:$A12),'Agenda 2026'!$N$2:$N$376,0)),"")</f>
        <v/>
      </c>
      <c r="E12" s="44" t="str">
        <f t="array" ref="E12">IFERROR(INDEX('Agenda 2026'!D$2:D$376,MATCH(ROWS($A$7:$A12),'Agenda 2026'!$N$2:$N$376,0)),"")</f>
        <v/>
      </c>
      <c r="F12" s="45" t="str">
        <f t="array" ref="F12">IFERROR(INDEX('Agenda 2026'!E$2:E$376,MATCH(ROWS($A$7:$A12),'Agenda 2026'!$N$2:$N$376,0)),"")</f>
        <v/>
      </c>
      <c r="G12" s="44" t="str">
        <f t="array" ref="G12">IFERROR(INDEX('Agenda 2026'!F$2:F$376,MATCH(ROWS($A$7:$A12),'Agenda 2026'!$N$2:$N$376,0)),"")</f>
        <v/>
      </c>
      <c r="H12" s="44" t="str">
        <f t="array" ref="H12">IFERROR(INDEX('Agenda 2026'!G$2:G$376,MATCH(ROWS($A$7:$A12),'Agenda 2026'!$N$2:$N$376,0)),"")</f>
        <v/>
      </c>
      <c r="I12" s="46" t="str">
        <f t="array" ref="I12">IFERROR(INDEX('Agenda 2026'!H$2:H$376,MATCH(ROWS($A$7:$A12),'Agenda 2026'!$N$2:$N$376,0)),"")</f>
        <v/>
      </c>
      <c r="J12" s="47" t="s">
        <v>49</v>
      </c>
      <c r="K12" s="48" t="str">
        <f t="array" ref="K12">IFERROR(HYPERLINK(INDEX('Agenda 2026'!J$2:J$376,MATCH(ROWS($A$7:$A12),'Agenda 2026'!$N$2:$N$376,0)),"Ver fuente ↗"),"")</f>
        <v/>
      </c>
      <c r="L12" s="49" t="str">
        <f t="array" ref="L12">IFERROR(INDEX('Agenda 2026'!K$2:K$376,MATCH(ROWS($A$7:$A12),'Agenda 2026'!$N$2:$N$376,0)),"")</f>
        <v/>
      </c>
      <c r="M12" s="50" t="str">
        <f t="array" ref="M12">IFERROR(INDEX('Agenda 2026'!O$2:O$376,MATCH(ROWS($A$7:$A12),'Agenda 2026'!$N$2:$N$376,0)),"")</f>
        <v/>
      </c>
    </row>
    <row r="13" spans="1:13" ht="42" customHeight="1" x14ac:dyDescent="0.35">
      <c r="A13" s="42" t="str">
        <f t="array" ref="A13">IFERROR(INDEX('Agenda 2026'!A$2:A$376,MATCH(ROWS($A$7:$A13),'Agenda 2026'!$N$2:$N$376,0)),"")</f>
        <v/>
      </c>
      <c r="B13" s="43" t="str">
        <f t="array" ref="B13">IFERROR(INDEX('Agenda 2026'!P$2:P$376,MATCH(ROWS($A$7:$A13),'Agenda 2026'!$N$2:$N$376,0)),"")</f>
        <v/>
      </c>
      <c r="C13" s="44" t="str">
        <f t="array" ref="C13">IFERROR(INDEX('Agenda 2026'!B$2:B$376,MATCH(ROWS($A$7:$A13),'Agenda 2026'!$N$2:$N$376,0)),"")</f>
        <v/>
      </c>
      <c r="D13" s="44" t="str">
        <f t="array" ref="D13">IFERROR(INDEX('Agenda 2026'!C$2:C$376,MATCH(ROWS($A$7:$A13),'Agenda 2026'!$N$2:$N$376,0)),"")</f>
        <v/>
      </c>
      <c r="E13" s="44" t="str">
        <f t="array" ref="E13">IFERROR(INDEX('Agenda 2026'!D$2:D$376,MATCH(ROWS($A$7:$A13),'Agenda 2026'!$N$2:$N$376,0)),"")</f>
        <v/>
      </c>
      <c r="F13" s="45" t="str">
        <f t="array" ref="F13">IFERROR(INDEX('Agenda 2026'!E$2:E$376,MATCH(ROWS($A$7:$A13),'Agenda 2026'!$N$2:$N$376,0)),"")</f>
        <v/>
      </c>
      <c r="G13" s="44" t="str">
        <f t="array" ref="G13">IFERROR(INDEX('Agenda 2026'!F$2:F$376,MATCH(ROWS($A$7:$A13),'Agenda 2026'!$N$2:$N$376,0)),"")</f>
        <v/>
      </c>
      <c r="H13" s="44" t="str">
        <f t="array" ref="H13">IFERROR(INDEX('Agenda 2026'!G$2:G$376,MATCH(ROWS($A$7:$A13),'Agenda 2026'!$N$2:$N$376,0)),"")</f>
        <v/>
      </c>
      <c r="I13" s="46" t="str">
        <f t="array" ref="I13">IFERROR(INDEX('Agenda 2026'!H$2:H$376,MATCH(ROWS($A$7:$A13),'Agenda 2026'!$N$2:$N$376,0)),"")</f>
        <v/>
      </c>
      <c r="J13" s="47" t="s">
        <v>49</v>
      </c>
      <c r="K13" s="48" t="str">
        <f t="array" ref="K13">IFERROR(HYPERLINK(INDEX('Agenda 2026'!J$2:J$376,MATCH(ROWS($A$7:$A13),'Agenda 2026'!$N$2:$N$376,0)),"Ver fuente ↗"),"")</f>
        <v/>
      </c>
      <c r="L13" s="49" t="str">
        <f>IFERROR(INDEX('Agenda 2026'!K$2:K$376,MATCH(ROWS($A$7:$A13),'Agenda 2026'!$N$2:$N$376,0)),"")</f>
        <v/>
      </c>
      <c r="M13" s="50" t="str">
        <f t="array" ref="M13">IFERROR(INDEX('Agenda 2026'!O$2:O$376,MATCH(ROWS($A$7:$A13),'Agenda 2026'!$N$2:$N$376,0)),"")</f>
        <v/>
      </c>
    </row>
    <row r="14" spans="1:13" ht="42" customHeight="1" x14ac:dyDescent="0.35">
      <c r="A14" s="42" t="str">
        <f t="array" ref="A14">IFERROR(INDEX('Agenda 2026'!A$2:A$376,MATCH(ROWS($A$7:$A14),'Agenda 2026'!$N$2:$N$376,0)),"")</f>
        <v/>
      </c>
      <c r="B14" s="43" t="str">
        <f t="array" ref="B14">IFERROR(INDEX('Agenda 2026'!P$2:P$376,MATCH(ROWS($A$7:$A14),'Agenda 2026'!$N$2:$N$376,0)),"")</f>
        <v/>
      </c>
      <c r="C14" s="44" t="str">
        <f t="array" ref="C14">IFERROR(INDEX('Agenda 2026'!B$2:B$376,MATCH(ROWS($A$7:$A14),'Agenda 2026'!$N$2:$N$376,0)),"")</f>
        <v/>
      </c>
      <c r="D14" s="44" t="str">
        <f t="array" ref="D14">IFERROR(INDEX('Agenda 2026'!C$2:C$376,MATCH(ROWS($A$7:$A14),'Agenda 2026'!$N$2:$N$376,0)),"")</f>
        <v/>
      </c>
      <c r="E14" s="44" t="str">
        <f t="array" ref="E14">IFERROR(INDEX('Agenda 2026'!D$2:D$376,MATCH(ROWS($A$7:$A14),'Agenda 2026'!$N$2:$N$376,0)),"")</f>
        <v/>
      </c>
      <c r="F14" s="45" t="str">
        <f t="array" ref="F14">IFERROR(INDEX('Agenda 2026'!E$2:E$376,MATCH(ROWS($A$7:$A14),'Agenda 2026'!$N$2:$N$376,0)),"")</f>
        <v/>
      </c>
      <c r="G14" s="44" t="str">
        <f t="array" ref="G14">IFERROR(INDEX('Agenda 2026'!F$2:F$376,MATCH(ROWS($A$7:$A14),'Agenda 2026'!$N$2:$N$376,0)),"")</f>
        <v/>
      </c>
      <c r="H14" s="44" t="str">
        <f t="array" ref="H14">IFERROR(INDEX('Agenda 2026'!G$2:G$376,MATCH(ROWS($A$7:$A14),'Agenda 2026'!$N$2:$N$376,0)),"")</f>
        <v/>
      </c>
      <c r="I14" s="46" t="str">
        <f t="array" ref="I14">IFERROR(INDEX('Agenda 2026'!H$2:H$376,MATCH(ROWS($A$7:$A14),'Agenda 2026'!$N$2:$N$376,0)),"")</f>
        <v/>
      </c>
      <c r="J14" s="47" t="s">
        <v>49</v>
      </c>
      <c r="K14" s="48" t="str">
        <f t="array" ref="K14">IFERROR(HYPERLINK(INDEX('Agenda 2026'!J$2:J$376,MATCH(ROWS($A$7:$A14),'Agenda 2026'!$N$2:$N$376,0)),"Ver fuente ↗"),"")</f>
        <v/>
      </c>
      <c r="L14" s="49" t="str">
        <f>IFERROR(INDEX('Agenda 2026'!K$2:K$376,MATCH(ROWS($A$7:$A14),'Agenda 2026'!$N$2:$N$376,0)),"")</f>
        <v/>
      </c>
      <c r="M14" s="50" t="str">
        <f t="array" ref="M14">IFERROR(INDEX('Agenda 2026'!O$2:O$376,MATCH(ROWS($A$7:$A14),'Agenda 2026'!$N$2:$N$376,0)),"")</f>
        <v/>
      </c>
    </row>
    <row r="15" spans="1:13" ht="42" customHeight="1" x14ac:dyDescent="0.35">
      <c r="A15" s="42" t="str">
        <f t="array" ref="A15">IFERROR(INDEX('Agenda 2026'!A$2:A$376,MATCH(ROWS($A$7:$A15),'Agenda 2026'!$N$2:$N$376,0)),"")</f>
        <v/>
      </c>
      <c r="B15" s="43" t="str">
        <f t="array" ref="B15">IFERROR(INDEX('Agenda 2026'!P$2:P$376,MATCH(ROWS($A$7:$A15),'Agenda 2026'!$N$2:$N$376,0)),"")</f>
        <v/>
      </c>
      <c r="C15" s="44" t="str">
        <f t="array" ref="C15">IFERROR(INDEX('Agenda 2026'!B$2:B$376,MATCH(ROWS($A$7:$A15),'Agenda 2026'!$N$2:$N$376,0)),"")</f>
        <v/>
      </c>
      <c r="D15" s="44" t="str">
        <f t="array" ref="D15">IFERROR(INDEX('Agenda 2026'!C$2:C$376,MATCH(ROWS($A$7:$A15),'Agenda 2026'!$N$2:$N$376,0)),"")</f>
        <v/>
      </c>
      <c r="E15" s="44" t="str">
        <f t="array" ref="E15">IFERROR(INDEX('Agenda 2026'!D$2:D$376,MATCH(ROWS($A$7:$A15),'Agenda 2026'!$N$2:$N$376,0)),"")</f>
        <v/>
      </c>
      <c r="F15" s="45" t="str">
        <f t="array" ref="F15">IFERROR(INDEX('Agenda 2026'!E$2:E$376,MATCH(ROWS($A$7:$A15),'Agenda 2026'!$N$2:$N$376,0)),"")</f>
        <v/>
      </c>
      <c r="G15" s="44" t="str">
        <f t="array" ref="G15">IFERROR(INDEX('Agenda 2026'!F$2:F$376,MATCH(ROWS($A$7:$A15),'Agenda 2026'!$N$2:$N$376,0)),"")</f>
        <v/>
      </c>
      <c r="H15" s="44" t="str">
        <f t="array" ref="H15">IFERROR(INDEX('Agenda 2026'!G$2:G$376,MATCH(ROWS($A$7:$A15),'Agenda 2026'!$N$2:$N$376,0)),"")</f>
        <v/>
      </c>
      <c r="I15" s="46" t="str">
        <f t="array" ref="I15">IFERROR(INDEX('Agenda 2026'!H$2:H$376,MATCH(ROWS($A$7:$A15),'Agenda 2026'!$N$2:$N$376,0)),"")</f>
        <v/>
      </c>
      <c r="J15" s="47" t="s">
        <v>49</v>
      </c>
      <c r="K15" s="48" t="str">
        <f t="array" ref="K15">IFERROR(HYPERLINK(INDEX('Agenda 2026'!J$2:J$376,MATCH(ROWS($A$7:$A15),'Agenda 2026'!$N$2:$N$376,0)),"Ver fuente ↗"),"")</f>
        <v/>
      </c>
      <c r="L15" s="49" t="str">
        <f>IFERROR(INDEX('Agenda 2026'!K$2:K$376,MATCH(ROWS($A$7:$A15),'Agenda 2026'!$N$2:$N$376,0)),"")</f>
        <v/>
      </c>
      <c r="M15" s="50" t="str">
        <f t="array" ref="M15">IFERROR(INDEX('Agenda 2026'!O$2:O$376,MATCH(ROWS($A$7:$A15),'Agenda 2026'!$N$2:$N$376,0)),"")</f>
        <v/>
      </c>
    </row>
    <row r="16" spans="1:13" ht="42" customHeight="1" x14ac:dyDescent="0.35">
      <c r="A16" s="42" t="str">
        <f t="array" ref="A16">IFERROR(INDEX('Agenda 2026'!A$2:A$376,MATCH(ROWS($A$7:$A16),'Agenda 2026'!$N$2:$N$376,0)),"")</f>
        <v/>
      </c>
      <c r="B16" s="43" t="str">
        <f t="array" ref="B16">IFERROR(INDEX('Agenda 2026'!P$2:P$376,MATCH(ROWS($A$7:$A16),'Agenda 2026'!$N$2:$N$376,0)),"")</f>
        <v/>
      </c>
      <c r="C16" s="44" t="str">
        <f t="array" ref="C16">IFERROR(INDEX('Agenda 2026'!B$2:B$376,MATCH(ROWS($A$7:$A16),'Agenda 2026'!$N$2:$N$376,0)),"")</f>
        <v/>
      </c>
      <c r="D16" s="44" t="str">
        <f t="array" ref="D16">IFERROR(INDEX('Agenda 2026'!C$2:C$376,MATCH(ROWS($A$7:$A16),'Agenda 2026'!$N$2:$N$376,0)),"")</f>
        <v/>
      </c>
      <c r="E16" s="44" t="str">
        <f t="array" ref="E16">IFERROR(INDEX('Agenda 2026'!D$2:D$376,MATCH(ROWS($A$7:$A16),'Agenda 2026'!$N$2:$N$376,0)),"")</f>
        <v/>
      </c>
      <c r="F16" s="45" t="str">
        <f t="array" ref="F16">IFERROR(INDEX('Agenda 2026'!E$2:E$376,MATCH(ROWS($A$7:$A16),'Agenda 2026'!$N$2:$N$376,0)),"")</f>
        <v/>
      </c>
      <c r="G16" s="44" t="str">
        <f t="array" ref="G16">IFERROR(INDEX('Agenda 2026'!F$2:F$376,MATCH(ROWS($A$7:$A16),'Agenda 2026'!$N$2:$N$376,0)),"")</f>
        <v/>
      </c>
      <c r="H16" s="44" t="str">
        <f t="array" ref="H16">IFERROR(INDEX('Agenda 2026'!G$2:G$376,MATCH(ROWS($A$7:$A16),'Agenda 2026'!$N$2:$N$376,0)),"")</f>
        <v/>
      </c>
      <c r="I16" s="46" t="str">
        <f t="array" ref="I16">IFERROR(INDEX('Agenda 2026'!H$2:H$376,MATCH(ROWS($A$7:$A16),'Agenda 2026'!$N$2:$N$376,0)),"")</f>
        <v/>
      </c>
      <c r="J16" s="47" t="s">
        <v>50</v>
      </c>
      <c r="K16" s="48" t="str">
        <f t="array" ref="K16">IFERROR(HYPERLINK(INDEX('Agenda 2026'!J$2:J$376,MATCH(ROWS($A$7:$A16),'Agenda 2026'!$N$2:$N$376,0)),"Ver fuente ↗"),"")</f>
        <v/>
      </c>
      <c r="L16" s="49" t="str">
        <f t="array" ref="L16">IFERROR(INDEX('Agenda 2026'!K$2:K$376,MATCH(ROWS($A$7:$A16),'Agenda 2026'!$N$2:$N$376,0)),"")</f>
        <v/>
      </c>
      <c r="M16" s="50" t="str">
        <f t="array" ref="M16">IFERROR(INDEX('Agenda 2026'!O$2:O$376,MATCH(ROWS($A$7:$A16),'Agenda 2026'!$N$2:$N$376,0)),"")</f>
        <v/>
      </c>
    </row>
    <row r="17" spans="1:13" ht="42" customHeight="1" x14ac:dyDescent="0.35">
      <c r="A17" s="42" t="str">
        <f t="array" ref="A17">IFERROR(INDEX('Agenda 2026'!A$2:A$376,MATCH(ROWS($A$7:$A17),'Agenda 2026'!$N$2:$N$376,0)),"")</f>
        <v/>
      </c>
      <c r="B17" s="43" t="str">
        <f t="array" ref="B17">IFERROR(INDEX('Agenda 2026'!P$2:P$376,MATCH(ROWS($A$7:$A17),'Agenda 2026'!$N$2:$N$376,0)),"")</f>
        <v/>
      </c>
      <c r="C17" s="44" t="str">
        <f t="array" ref="C17">IFERROR(INDEX('Agenda 2026'!B$2:B$376,MATCH(ROWS($A$7:$A17),'Agenda 2026'!$N$2:$N$376,0)),"")</f>
        <v/>
      </c>
      <c r="D17" s="44" t="str">
        <f t="array" ref="D17">IFERROR(INDEX('Agenda 2026'!C$2:C$376,MATCH(ROWS($A$7:$A17),'Agenda 2026'!$N$2:$N$376,0)),"")</f>
        <v/>
      </c>
      <c r="E17" s="44" t="str">
        <f t="array" ref="E17">IFERROR(INDEX('Agenda 2026'!D$2:D$376,MATCH(ROWS($A$7:$A17),'Agenda 2026'!$N$2:$N$376,0)),"")</f>
        <v/>
      </c>
      <c r="F17" s="45" t="str">
        <f t="array" ref="F17">IFERROR(INDEX('Agenda 2026'!E$2:E$376,MATCH(ROWS($A$7:$A17),'Agenda 2026'!$N$2:$N$376,0)),"")</f>
        <v/>
      </c>
      <c r="G17" s="44" t="str">
        <f t="array" ref="G17">IFERROR(INDEX('Agenda 2026'!F$2:F$376,MATCH(ROWS($A$7:$A17),'Agenda 2026'!$N$2:$N$376,0)),"")</f>
        <v/>
      </c>
      <c r="H17" s="44" t="str">
        <f t="array" ref="H17">IFERROR(INDEX('Agenda 2026'!G$2:G$376,MATCH(ROWS($A$7:$A17),'Agenda 2026'!$N$2:$N$376,0)),"")</f>
        <v/>
      </c>
      <c r="I17" s="46" t="str">
        <f t="array" ref="I17">IFERROR(INDEX('Agenda 2026'!H$2:H$376,MATCH(ROWS($A$7:$A17),'Agenda 2026'!$N$2:$N$376,0)),"")</f>
        <v/>
      </c>
      <c r="J17" s="47" t="s">
        <v>50</v>
      </c>
      <c r="K17" s="48" t="str">
        <f t="array" ref="K17">IFERROR(HYPERLINK(INDEX('Agenda 2026'!J$2:J$376,MATCH(ROWS($A$7:$A17),'Agenda 2026'!$N$2:$N$376,0)),"Ver fuente ↗"),"")</f>
        <v/>
      </c>
      <c r="L17" s="49" t="str">
        <f t="array" ref="L17">IFERROR(INDEX('Agenda 2026'!K$2:K$376,MATCH(ROWS($A$7:$A17),'Agenda 2026'!$N$2:$N$376,0)),"")</f>
        <v/>
      </c>
      <c r="M17" s="50" t="str">
        <f t="array" ref="M17">IFERROR(INDEX('Agenda 2026'!O$2:O$376,MATCH(ROWS($A$7:$A17),'Agenda 2026'!$N$2:$N$376,0)),"")</f>
        <v/>
      </c>
    </row>
    <row r="18" spans="1:13" ht="42" customHeight="1" x14ac:dyDescent="0.35">
      <c r="A18" s="42" t="str">
        <f t="array" ref="A18">IFERROR(INDEX('Agenda 2026'!A$2:A$376,MATCH(ROWS($A$7:$A18),'Agenda 2026'!$N$2:$N$376,0)),"")</f>
        <v/>
      </c>
      <c r="B18" s="43" t="str">
        <f t="array" ref="B18">IFERROR(INDEX('Agenda 2026'!P$2:P$376,MATCH(ROWS($A$7:$A18),'Agenda 2026'!$N$2:$N$376,0)),"")</f>
        <v/>
      </c>
      <c r="C18" s="44" t="str">
        <f t="array" ref="C18">IFERROR(INDEX('Agenda 2026'!B$2:B$376,MATCH(ROWS($A$7:$A18),'Agenda 2026'!$N$2:$N$376,0)),"")</f>
        <v/>
      </c>
      <c r="D18" s="44" t="str">
        <f t="array" ref="D18">IFERROR(INDEX('Agenda 2026'!C$2:C$376,MATCH(ROWS($A$7:$A18),'Agenda 2026'!$N$2:$N$376,0)),"")</f>
        <v/>
      </c>
      <c r="E18" s="44" t="str">
        <f t="array" ref="E18">IFERROR(INDEX('Agenda 2026'!D$2:D$376,MATCH(ROWS($A$7:$A18),'Agenda 2026'!$N$2:$N$376,0)),"")</f>
        <v/>
      </c>
      <c r="F18" s="45" t="str">
        <f t="array" ref="F18">IFERROR(INDEX('Agenda 2026'!E$2:E$376,MATCH(ROWS($A$7:$A18),'Agenda 2026'!$N$2:$N$376,0)),"")</f>
        <v/>
      </c>
      <c r="G18" s="44" t="str">
        <f t="array" ref="G18">IFERROR(INDEX('Agenda 2026'!F$2:F$376,MATCH(ROWS($A$7:$A18),'Agenda 2026'!$N$2:$N$376,0)),"")</f>
        <v/>
      </c>
      <c r="H18" s="44" t="str">
        <f t="array" ref="H18">IFERROR(INDEX('Agenda 2026'!G$2:G$376,MATCH(ROWS($A$7:$A18),'Agenda 2026'!$N$2:$N$376,0)),"")</f>
        <v/>
      </c>
      <c r="I18" s="46" t="str">
        <f t="array" ref="I18">IFERROR(INDEX('Agenda 2026'!H$2:H$376,MATCH(ROWS($A$7:$A18),'Agenda 2026'!$N$2:$N$376,0)),"")</f>
        <v/>
      </c>
      <c r="J18" s="47" t="s">
        <v>50</v>
      </c>
      <c r="K18" s="48" t="str">
        <f t="array" ref="K18">IFERROR(HYPERLINK(INDEX('Agenda 2026'!J$2:J$376,MATCH(ROWS($A$7:$A18),'Agenda 2026'!$N$2:$N$376,0)),"Ver fuente ↗"),"")</f>
        <v/>
      </c>
      <c r="L18" s="49" t="str">
        <f>IFERROR(INDEX('Agenda 2026'!K$2:K$376,MATCH(ROWS($A$7:$A18),'Agenda 2026'!$N$2:$N$376,0)),"")</f>
        <v/>
      </c>
      <c r="M18" s="50" t="str">
        <f t="array" ref="M18">IFERROR(INDEX('Agenda 2026'!O$2:O$376,MATCH(ROWS($A$7:$A18),'Agenda 2026'!$N$2:$N$376,0)),"")</f>
        <v/>
      </c>
    </row>
    <row r="19" spans="1:13" ht="42" customHeight="1" x14ac:dyDescent="0.35">
      <c r="A19" s="42" t="str">
        <f t="array" ref="A19">IFERROR(INDEX('Agenda 2026'!A$2:A$376,MATCH(ROWS($A$7:$A19),'Agenda 2026'!$N$2:$N$376,0)),"")</f>
        <v/>
      </c>
      <c r="B19" s="43" t="str">
        <f t="array" ref="B19">IFERROR(INDEX('Agenda 2026'!P$2:P$376,MATCH(ROWS($A$7:$A19),'Agenda 2026'!$N$2:$N$376,0)),"")</f>
        <v/>
      </c>
      <c r="C19" s="44" t="str">
        <f t="array" ref="C19">IFERROR(INDEX('Agenda 2026'!B$2:B$376,MATCH(ROWS($A$7:$A19),'Agenda 2026'!$N$2:$N$376,0)),"")</f>
        <v/>
      </c>
      <c r="D19" s="44" t="str">
        <f t="array" ref="D19">IFERROR(INDEX('Agenda 2026'!C$2:C$376,MATCH(ROWS($A$7:$A19),'Agenda 2026'!$N$2:$N$376,0)),"")</f>
        <v/>
      </c>
      <c r="E19" s="44" t="str">
        <f t="array" ref="E19">IFERROR(INDEX('Agenda 2026'!D$2:D$376,MATCH(ROWS($A$7:$A19),'Agenda 2026'!$N$2:$N$376,0)),"")</f>
        <v/>
      </c>
      <c r="F19" s="45" t="str">
        <f t="array" ref="F19">IFERROR(INDEX('Agenda 2026'!E$2:E$376,MATCH(ROWS($A$7:$A19),'Agenda 2026'!$N$2:$N$376,0)),"")</f>
        <v/>
      </c>
      <c r="G19" s="44" t="str">
        <f t="array" ref="G19">IFERROR(INDEX('Agenda 2026'!F$2:F$376,MATCH(ROWS($A$7:$A19),'Agenda 2026'!$N$2:$N$376,0)),"")</f>
        <v/>
      </c>
      <c r="H19" s="44" t="str">
        <f t="array" ref="H19">IFERROR(INDEX('Agenda 2026'!G$2:G$376,MATCH(ROWS($A$7:$A19),'Agenda 2026'!$N$2:$N$376,0)),"")</f>
        <v/>
      </c>
      <c r="I19" s="46" t="str">
        <f t="array" ref="I19">IFERROR(INDEX('Agenda 2026'!H$2:H$376,MATCH(ROWS($A$7:$A19),'Agenda 2026'!$N$2:$N$376,0)),"")</f>
        <v/>
      </c>
      <c r="J19" s="47" t="s">
        <v>50</v>
      </c>
      <c r="K19" s="48" t="str">
        <f t="array" ref="K19">IFERROR(HYPERLINK(INDEX('Agenda 2026'!J$2:J$376,MATCH(ROWS($A$7:$A19),'Agenda 2026'!$N$2:$N$376,0)),"Ver fuente ↗"),"")</f>
        <v/>
      </c>
      <c r="L19" s="49" t="str">
        <f>IFERROR(INDEX('Agenda 2026'!K$2:K$376,MATCH(ROWS($A$7:$A19),'Agenda 2026'!$N$2:$N$376,0)),"")</f>
        <v/>
      </c>
      <c r="M19" s="50" t="str">
        <f t="array" ref="M19">IFERROR(INDEX('Agenda 2026'!O$2:O$376,MATCH(ROWS($A$7:$A19),'Agenda 2026'!$N$2:$N$376,0)),"")</f>
        <v/>
      </c>
    </row>
    <row r="20" spans="1:13" ht="42" customHeight="1" x14ac:dyDescent="0.35">
      <c r="A20" s="42" t="str">
        <f t="array" ref="A20">IFERROR(INDEX('Agenda 2026'!A$2:A$376,MATCH(ROWS($A$7:$A20),'Agenda 2026'!$N$2:$N$376,0)),"")</f>
        <v/>
      </c>
      <c r="B20" s="43" t="str">
        <f t="array" ref="B20">IFERROR(INDEX('Agenda 2026'!P$2:P$376,MATCH(ROWS($A$7:$A20),'Agenda 2026'!$N$2:$N$376,0)),"")</f>
        <v/>
      </c>
      <c r="C20" s="44" t="str">
        <f t="array" ref="C20">IFERROR(INDEX('Agenda 2026'!B$2:B$376,MATCH(ROWS($A$7:$A20),'Agenda 2026'!$N$2:$N$376,0)),"")</f>
        <v/>
      </c>
      <c r="D20" s="44" t="str">
        <f t="array" ref="D20">IFERROR(INDEX('Agenda 2026'!C$2:C$376,MATCH(ROWS($A$7:$A20),'Agenda 2026'!$N$2:$N$376,0)),"")</f>
        <v/>
      </c>
      <c r="E20" s="44" t="str">
        <f t="array" ref="E20">IFERROR(INDEX('Agenda 2026'!D$2:D$376,MATCH(ROWS($A$7:$A20),'Agenda 2026'!$N$2:$N$376,0)),"")</f>
        <v/>
      </c>
      <c r="F20" s="45" t="str">
        <f t="array" ref="F20">IFERROR(INDEX('Agenda 2026'!E$2:E$376,MATCH(ROWS($A$7:$A20),'Agenda 2026'!$N$2:$N$376,0)),"")</f>
        <v/>
      </c>
      <c r="G20" s="44" t="str">
        <f t="array" ref="G20">IFERROR(INDEX('Agenda 2026'!F$2:F$376,MATCH(ROWS($A$7:$A20),'Agenda 2026'!$N$2:$N$376,0)),"")</f>
        <v/>
      </c>
      <c r="H20" s="44" t="str">
        <f t="array" ref="H20">IFERROR(INDEX('Agenda 2026'!G$2:G$376,MATCH(ROWS($A$7:$A20),'Agenda 2026'!$N$2:$N$376,0)),"")</f>
        <v/>
      </c>
      <c r="I20" s="46" t="str">
        <f t="array" ref="I20">IFERROR(INDEX('Agenda 2026'!H$2:H$376,MATCH(ROWS($A$7:$A20),'Agenda 2026'!$N$2:$N$376,0)),"")</f>
        <v/>
      </c>
      <c r="J20" s="47" t="s">
        <v>50</v>
      </c>
      <c r="K20" s="48" t="str">
        <f t="array" ref="K20">IFERROR(HYPERLINK(INDEX('Agenda 2026'!J$2:J$376,MATCH(ROWS($A$7:$A20),'Agenda 2026'!$N$2:$N$376,0)),"Ver fuente ↗"),"")</f>
        <v/>
      </c>
      <c r="L20" s="49" t="str">
        <f>IFERROR(INDEX('Agenda 2026'!K$2:K$376,MATCH(ROWS($A$7:$A20),'Agenda 2026'!$N$2:$N$376,0)),"")</f>
        <v/>
      </c>
      <c r="M20" s="50" t="str">
        <f t="array" ref="M20">IFERROR(INDEX('Agenda 2026'!O$2:O$376,MATCH(ROWS($A$7:$A20),'Agenda 2026'!$N$2:$N$376,0)),"")</f>
        <v/>
      </c>
    </row>
    <row r="21" spans="1:13" ht="42" customHeight="1" x14ac:dyDescent="0.35">
      <c r="A21" s="42" t="str">
        <f t="array" ref="A21">IFERROR(INDEX('Agenda 2026'!A$2:A$376,MATCH(ROWS($A$7:$A21),'Agenda 2026'!$N$2:$N$376,0)),"")</f>
        <v/>
      </c>
      <c r="B21" s="43" t="str">
        <f t="array" ref="B21">IFERROR(INDEX('Agenda 2026'!P$2:P$376,MATCH(ROWS($A$7:$A21),'Agenda 2026'!$N$2:$N$376,0)),"")</f>
        <v/>
      </c>
      <c r="C21" s="44" t="str">
        <f t="array" ref="C21">IFERROR(INDEX('Agenda 2026'!B$2:B$376,MATCH(ROWS($A$7:$A21),'Agenda 2026'!$N$2:$N$376,0)),"")</f>
        <v/>
      </c>
      <c r="D21" s="44" t="str">
        <f t="array" ref="D21">IFERROR(INDEX('Agenda 2026'!C$2:C$376,MATCH(ROWS($A$7:$A21),'Agenda 2026'!$N$2:$N$376,0)),"")</f>
        <v/>
      </c>
      <c r="E21" s="44" t="str">
        <f t="array" ref="E21">IFERROR(INDEX('Agenda 2026'!D$2:D$376,MATCH(ROWS($A$7:$A21),'Agenda 2026'!$N$2:$N$376,0)),"")</f>
        <v/>
      </c>
      <c r="F21" s="45" t="str">
        <f t="array" ref="F21">IFERROR(INDEX('Agenda 2026'!E$2:E$376,MATCH(ROWS($A$7:$A21),'Agenda 2026'!$N$2:$N$376,0)),"")</f>
        <v/>
      </c>
      <c r="G21" s="44" t="str">
        <f t="array" ref="G21">IFERROR(INDEX('Agenda 2026'!F$2:F$376,MATCH(ROWS($A$7:$A21),'Agenda 2026'!$N$2:$N$376,0)),"")</f>
        <v/>
      </c>
      <c r="H21" s="44" t="str">
        <f t="array" ref="H21">IFERROR(INDEX('Agenda 2026'!G$2:G$376,MATCH(ROWS($A$7:$A21),'Agenda 2026'!$N$2:$N$376,0)),"")</f>
        <v/>
      </c>
      <c r="I21" s="46" t="str">
        <f t="array" ref="I21">IFERROR(INDEX('Agenda 2026'!H$2:H$376,MATCH(ROWS($A$7:$A21),'Agenda 2026'!$N$2:$N$376,0)),"")</f>
        <v/>
      </c>
      <c r="J21" s="47" t="s">
        <v>50</v>
      </c>
      <c r="K21" s="48" t="str">
        <f t="array" ref="K21">IFERROR(HYPERLINK(INDEX('Agenda 2026'!J$2:J$376,MATCH(ROWS($A$7:$A21),'Agenda 2026'!$N$2:$N$376,0)),"Ver fuente ↗"),"")</f>
        <v/>
      </c>
      <c r="L21" s="49" t="str">
        <f>IFERROR(INDEX('Agenda 2026'!K$2:K$376,MATCH(ROWS($A$7:$A21),'Agenda 2026'!$N$2:$N$376,0)),"")</f>
        <v/>
      </c>
      <c r="M21" s="50" t="str">
        <f t="array" ref="M21">IFERROR(INDEX('Agenda 2026'!O$2:O$376,MATCH(ROWS($A$7:$A21),'Agenda 2026'!$N$2:$N$376,0)),"")</f>
        <v/>
      </c>
    </row>
    <row r="22" spans="1:13" ht="42" customHeight="1" x14ac:dyDescent="0.35">
      <c r="A22" s="42" t="str">
        <f t="array" ref="A22">IFERROR(INDEX('Agenda 2026'!A$2:A$376,MATCH(ROWS($A$7:$A22),'Agenda 2026'!$N$2:$N$376,0)),"")</f>
        <v/>
      </c>
      <c r="B22" s="43" t="str">
        <f t="array" ref="B22">IFERROR(INDEX('Agenda 2026'!P$2:P$376,MATCH(ROWS($A$7:$A22),'Agenda 2026'!$N$2:$N$376,0)),"")</f>
        <v/>
      </c>
      <c r="C22" s="44" t="str">
        <f t="array" ref="C22">IFERROR(INDEX('Agenda 2026'!B$2:B$376,MATCH(ROWS($A$7:$A22),'Agenda 2026'!$N$2:$N$376,0)),"")</f>
        <v/>
      </c>
      <c r="D22" s="44" t="str">
        <f t="array" ref="D22">IFERROR(INDEX('Agenda 2026'!C$2:C$376,MATCH(ROWS($A$7:$A22),'Agenda 2026'!$N$2:$N$376,0)),"")</f>
        <v/>
      </c>
      <c r="E22" s="44" t="str">
        <f t="array" ref="E22">IFERROR(INDEX('Agenda 2026'!D$2:D$376,MATCH(ROWS($A$7:$A22),'Agenda 2026'!$N$2:$N$376,0)),"")</f>
        <v/>
      </c>
      <c r="F22" s="45" t="str">
        <f t="array" ref="F22">IFERROR(INDEX('Agenda 2026'!E$2:E$376,MATCH(ROWS($A$7:$A22),'Agenda 2026'!$N$2:$N$376,0)),"")</f>
        <v/>
      </c>
      <c r="G22" s="44" t="str">
        <f t="array" ref="G22">IFERROR(INDEX('Agenda 2026'!F$2:F$376,MATCH(ROWS($A$7:$A22),'Agenda 2026'!$N$2:$N$376,0)),"")</f>
        <v/>
      </c>
      <c r="H22" s="44" t="str">
        <f t="array" ref="H22">IFERROR(INDEX('Agenda 2026'!G$2:G$376,MATCH(ROWS($A$7:$A22),'Agenda 2026'!$N$2:$N$376,0)),"")</f>
        <v/>
      </c>
      <c r="I22" s="46" t="str">
        <f t="array" ref="I22">IFERROR(INDEX('Agenda 2026'!H$2:H$376,MATCH(ROWS($A$7:$A22),'Agenda 2026'!$N$2:$N$376,0)),"")</f>
        <v/>
      </c>
      <c r="J22" s="47" t="s">
        <v>50</v>
      </c>
      <c r="K22" s="48" t="str">
        <f t="array" ref="K22">IFERROR(HYPERLINK(INDEX('Agenda 2026'!J$2:J$376,MATCH(ROWS($A$7:$A22),'Agenda 2026'!$N$2:$N$376,0)),"Ver fuente ↗"),"")</f>
        <v/>
      </c>
      <c r="L22" s="49" t="str">
        <f>IFERROR(INDEX('Agenda 2026'!K$2:K$376,MATCH(ROWS($A$7:$A22),'Agenda 2026'!$N$2:$N$376,0)),"")</f>
        <v/>
      </c>
      <c r="M22" s="50" t="str">
        <f t="array" ref="M22">IFERROR(INDEX('Agenda 2026'!O$2:O$376,MATCH(ROWS($A$7:$A22),'Agenda 2026'!$N$2:$N$376,0)),"")</f>
        <v/>
      </c>
    </row>
    <row r="23" spans="1:13" ht="42" customHeight="1" x14ac:dyDescent="0.35">
      <c r="A23" s="42" t="str">
        <f t="array" ref="A23">IFERROR(INDEX('Agenda 2026'!A$2:A$376,MATCH(ROWS($A$7:$A23),'Agenda 2026'!$N$2:$N$376,0)),"")</f>
        <v/>
      </c>
      <c r="B23" s="43" t="str">
        <f t="array" ref="B23">IFERROR(INDEX('Agenda 2026'!P$2:P$376,MATCH(ROWS($A$7:$A23),'Agenda 2026'!$N$2:$N$376,0)),"")</f>
        <v/>
      </c>
      <c r="C23" s="44" t="str">
        <f t="array" ref="C23">IFERROR(INDEX('Agenda 2026'!B$2:B$376,MATCH(ROWS($A$7:$A23),'Agenda 2026'!$N$2:$N$376,0)),"")</f>
        <v/>
      </c>
      <c r="D23" s="44" t="str">
        <f t="array" ref="D23">IFERROR(INDEX('Agenda 2026'!C$2:C$376,MATCH(ROWS($A$7:$A23),'Agenda 2026'!$N$2:$N$376,0)),"")</f>
        <v/>
      </c>
      <c r="E23" s="44" t="str">
        <f t="array" ref="E23">IFERROR(INDEX('Agenda 2026'!D$2:D$376,MATCH(ROWS($A$7:$A23),'Agenda 2026'!$N$2:$N$376,0)),"")</f>
        <v/>
      </c>
      <c r="F23" s="45" t="str">
        <f t="array" ref="F23">IFERROR(INDEX('Agenda 2026'!E$2:E$376,MATCH(ROWS($A$7:$A23),'Agenda 2026'!$N$2:$N$376,0)),"")</f>
        <v/>
      </c>
      <c r="G23" s="44" t="str">
        <f t="array" ref="G23">IFERROR(INDEX('Agenda 2026'!F$2:F$376,MATCH(ROWS($A$7:$A23),'Agenda 2026'!$N$2:$N$376,0)),"")</f>
        <v/>
      </c>
      <c r="H23" s="44" t="str">
        <f t="array" ref="H23">IFERROR(INDEX('Agenda 2026'!G$2:G$376,MATCH(ROWS($A$7:$A23),'Agenda 2026'!$N$2:$N$376,0)),"")</f>
        <v/>
      </c>
      <c r="I23" s="46" t="str">
        <f t="array" ref="I23">IFERROR(INDEX('Agenda 2026'!H$2:H$376,MATCH(ROWS($A$7:$A23),'Agenda 2026'!$N$2:$N$376,0)),"")</f>
        <v/>
      </c>
      <c r="J23" s="47" t="s">
        <v>50</v>
      </c>
      <c r="K23" s="48" t="str">
        <f t="array" ref="K23">IFERROR(HYPERLINK(INDEX('Agenda 2026'!J$2:J$376,MATCH(ROWS($A$7:$A23),'Agenda 2026'!$N$2:$N$376,0)),"Ver fuente ↗"),"")</f>
        <v/>
      </c>
      <c r="L23" s="49" t="str">
        <f>IFERROR(INDEX('Agenda 2026'!K$2:K$376,MATCH(ROWS($A$7:$A23),'Agenda 2026'!$N$2:$N$376,0)),"")</f>
        <v/>
      </c>
      <c r="M23" s="50" t="str">
        <f t="array" ref="M23">IFERROR(INDEX('Agenda 2026'!O$2:O$376,MATCH(ROWS($A$7:$A23),'Agenda 2026'!$N$2:$N$376,0)),"")</f>
        <v/>
      </c>
    </row>
    <row r="24" spans="1:13" ht="42" customHeight="1" x14ac:dyDescent="0.35">
      <c r="A24" s="42" t="str">
        <f t="array" ref="A24">IFERROR(INDEX('Agenda 2026'!A$2:A$376,MATCH(ROWS($A$7:$A24),'Agenda 2026'!$N$2:$N$376,0)),"")</f>
        <v/>
      </c>
      <c r="B24" s="43" t="str">
        <f t="array" ref="B24">IFERROR(INDEX('Agenda 2026'!P$2:P$376,MATCH(ROWS($A$7:$A24),'Agenda 2026'!$N$2:$N$376,0)),"")</f>
        <v/>
      </c>
      <c r="C24" s="44" t="str">
        <f t="array" ref="C24">IFERROR(INDEX('Agenda 2026'!B$2:B$376,MATCH(ROWS($A$7:$A24),'Agenda 2026'!$N$2:$N$376,0)),"")</f>
        <v/>
      </c>
      <c r="D24" s="44" t="str">
        <f t="array" ref="D24">IFERROR(INDEX('Agenda 2026'!C$2:C$376,MATCH(ROWS($A$7:$A24),'Agenda 2026'!$N$2:$N$376,0)),"")</f>
        <v/>
      </c>
      <c r="E24" s="44" t="str">
        <f t="array" ref="E24">IFERROR(INDEX('Agenda 2026'!D$2:D$376,MATCH(ROWS($A$7:$A24),'Agenda 2026'!$N$2:$N$376,0)),"")</f>
        <v/>
      </c>
      <c r="F24" s="45" t="str">
        <f t="array" ref="F24">IFERROR(INDEX('Agenda 2026'!E$2:E$376,MATCH(ROWS($A$7:$A24),'Agenda 2026'!$N$2:$N$376,0)),"")</f>
        <v/>
      </c>
      <c r="G24" s="44" t="str">
        <f t="array" ref="G24">IFERROR(INDEX('Agenda 2026'!F$2:F$376,MATCH(ROWS($A$7:$A24),'Agenda 2026'!$N$2:$N$376,0)),"")</f>
        <v/>
      </c>
      <c r="H24" s="44" t="str">
        <f t="array" ref="H24">IFERROR(INDEX('Agenda 2026'!G$2:G$376,MATCH(ROWS($A$7:$A24),'Agenda 2026'!$N$2:$N$376,0)),"")</f>
        <v/>
      </c>
      <c r="I24" s="46" t="str">
        <f t="array" ref="I24">IFERROR(INDEX('Agenda 2026'!H$2:H$376,MATCH(ROWS($A$7:$A24),'Agenda 2026'!$N$2:$N$376,0)),"")</f>
        <v/>
      </c>
      <c r="J24" s="47" t="s">
        <v>50</v>
      </c>
      <c r="K24" s="48" t="str">
        <f t="array" ref="K24">IFERROR(HYPERLINK(INDEX('Agenda 2026'!J$2:J$376,MATCH(ROWS($A$7:$A24),'Agenda 2026'!$N$2:$N$376,0)),"Ver fuente ↗"),"")</f>
        <v/>
      </c>
      <c r="L24" s="49" t="str">
        <f>IFERROR(INDEX('Agenda 2026'!K$2:K$376,MATCH(ROWS($A$7:$A24),'Agenda 2026'!$N$2:$N$376,0)),"")</f>
        <v/>
      </c>
      <c r="M24" s="50" t="str">
        <f t="array" ref="M24">IFERROR(INDEX('Agenda 2026'!O$2:O$376,MATCH(ROWS($A$7:$A24),'Agenda 2026'!$N$2:$N$376,0)),"")</f>
        <v/>
      </c>
    </row>
    <row r="25" spans="1:13" ht="42" customHeight="1" x14ac:dyDescent="0.35">
      <c r="A25" s="42" t="str">
        <f t="array" ref="A25">IFERROR(INDEX('Agenda 2026'!A$2:A$376,MATCH(ROWS($A$7:$A25),'Agenda 2026'!$N$2:$N$376,0)),"")</f>
        <v/>
      </c>
      <c r="B25" s="43" t="str">
        <f t="array" ref="B25">IFERROR(INDEX('Agenda 2026'!P$2:P$376,MATCH(ROWS($A$7:$A25),'Agenda 2026'!$N$2:$N$376,0)),"")</f>
        <v/>
      </c>
      <c r="C25" s="44" t="str">
        <f t="array" ref="C25">IFERROR(INDEX('Agenda 2026'!B$2:B$376,MATCH(ROWS($A$7:$A25),'Agenda 2026'!$N$2:$N$376,0)),"")</f>
        <v/>
      </c>
      <c r="D25" s="44" t="str">
        <f t="array" ref="D25">IFERROR(INDEX('Agenda 2026'!C$2:C$376,MATCH(ROWS($A$7:$A25),'Agenda 2026'!$N$2:$N$376,0)),"")</f>
        <v/>
      </c>
      <c r="E25" s="44" t="str">
        <f t="array" ref="E25">IFERROR(INDEX('Agenda 2026'!D$2:D$376,MATCH(ROWS($A$7:$A25),'Agenda 2026'!$N$2:$N$376,0)),"")</f>
        <v/>
      </c>
      <c r="F25" s="45" t="str">
        <f t="array" ref="F25">IFERROR(INDEX('Agenda 2026'!E$2:E$376,MATCH(ROWS($A$7:$A25),'Agenda 2026'!$N$2:$N$376,0)),"")</f>
        <v/>
      </c>
      <c r="G25" s="44" t="str">
        <f t="array" ref="G25">IFERROR(INDEX('Agenda 2026'!F$2:F$376,MATCH(ROWS($A$7:$A25),'Agenda 2026'!$N$2:$N$376,0)),"")</f>
        <v/>
      </c>
      <c r="H25" s="44" t="str">
        <f t="array" ref="H25">IFERROR(INDEX('Agenda 2026'!G$2:G$376,MATCH(ROWS($A$7:$A25),'Agenda 2026'!$N$2:$N$376,0)),"")</f>
        <v/>
      </c>
      <c r="I25" s="46" t="str">
        <f t="array" ref="I25">IFERROR(INDEX('Agenda 2026'!H$2:H$376,MATCH(ROWS($A$7:$A25),'Agenda 2026'!$N$2:$N$376,0)),"")</f>
        <v/>
      </c>
      <c r="J25" s="47" t="s">
        <v>50</v>
      </c>
      <c r="K25" s="48" t="str">
        <f t="array" ref="K25">IFERROR(HYPERLINK(INDEX('Agenda 2026'!J$2:J$376,MATCH(ROWS($A$7:$A25),'Agenda 2026'!$N$2:$N$376,0)),"Ver fuente ↗"),"")</f>
        <v/>
      </c>
      <c r="L25" s="49" t="str">
        <f t="array" ref="L25">IFERROR(INDEX('Agenda 2026'!K$2:K$376,MATCH(ROWS($A$7:$A25),'Agenda 2026'!$N$2:$N$376,0)),"")</f>
        <v/>
      </c>
      <c r="M25" s="50" t="str">
        <f t="array" ref="M25">IFERROR(INDEX('Agenda 2026'!O$2:O$376,MATCH(ROWS($A$7:$A25),'Agenda 2026'!$N$2:$N$376,0)),"")</f>
        <v/>
      </c>
    </row>
    <row r="26" spans="1:13" ht="42" customHeight="1" x14ac:dyDescent="0.35">
      <c r="A26" s="42" t="str">
        <f t="array" ref="A26">IFERROR(INDEX('Agenda 2026'!A$2:A$376,MATCH(ROWS($A$7:$A26),'Agenda 2026'!$N$2:$N$376,0)),"")</f>
        <v/>
      </c>
      <c r="B26" s="43" t="str">
        <f t="array" ref="B26">IFERROR(INDEX('Agenda 2026'!P$2:P$376,MATCH(ROWS($A$7:$A26),'Agenda 2026'!$N$2:$N$376,0)),"")</f>
        <v/>
      </c>
      <c r="C26" s="44" t="str">
        <f t="array" ref="C26">IFERROR(INDEX('Agenda 2026'!B$2:B$376,MATCH(ROWS($A$7:$A26),'Agenda 2026'!$N$2:$N$376,0)),"")</f>
        <v/>
      </c>
      <c r="D26" s="44" t="str">
        <f t="array" ref="D26">IFERROR(INDEX('Agenda 2026'!C$2:C$376,MATCH(ROWS($A$7:$A26),'Agenda 2026'!$N$2:$N$376,0)),"")</f>
        <v/>
      </c>
      <c r="E26" s="44" t="str">
        <f t="array" ref="E26">IFERROR(INDEX('Agenda 2026'!D$2:D$376,MATCH(ROWS($A$7:$A26),'Agenda 2026'!$N$2:$N$376,0)),"")</f>
        <v/>
      </c>
      <c r="F26" s="45" t="str">
        <f t="array" ref="F26">IFERROR(INDEX('Agenda 2026'!E$2:E$376,MATCH(ROWS($A$7:$A26),'Agenda 2026'!$N$2:$N$376,0)),"")</f>
        <v/>
      </c>
      <c r="G26" s="44" t="str">
        <f t="array" ref="G26">IFERROR(INDEX('Agenda 2026'!F$2:F$376,MATCH(ROWS($A$7:$A26),'Agenda 2026'!$N$2:$N$376,0)),"")</f>
        <v/>
      </c>
      <c r="H26" s="44" t="str">
        <f t="array" ref="H26">IFERROR(INDEX('Agenda 2026'!G$2:G$376,MATCH(ROWS($A$7:$A26),'Agenda 2026'!$N$2:$N$376,0)),"")</f>
        <v/>
      </c>
      <c r="I26" s="46" t="str">
        <f t="array" ref="I26">IFERROR(INDEX('Agenda 2026'!H$2:H$376,MATCH(ROWS($A$7:$A26),'Agenda 2026'!$N$2:$N$376,0)),"")</f>
        <v/>
      </c>
      <c r="J26" s="47" t="s">
        <v>50</v>
      </c>
      <c r="K26" s="48" t="str">
        <f t="array" ref="K26">IFERROR(HYPERLINK(INDEX('Agenda 2026'!J$2:J$376,MATCH(ROWS($A$7:$A26),'Agenda 2026'!$N$2:$N$376,0)),"Ver fuente ↗"),"")</f>
        <v/>
      </c>
      <c r="L26" s="49" t="str">
        <f>IFERROR(INDEX('Agenda 2026'!K$2:K$376,MATCH(ROWS($A$7:$A26),'Agenda 2026'!$N$2:$N$376,0)),"")</f>
        <v/>
      </c>
      <c r="M26" s="50" t="str">
        <f t="array" ref="M26">IFERROR(INDEX('Agenda 2026'!O$2:O$376,MATCH(ROWS($A$7:$A26),'Agenda 2026'!$N$2:$N$376,0)),"")</f>
        <v/>
      </c>
    </row>
    <row r="27" spans="1:13" ht="42" customHeight="1" x14ac:dyDescent="0.35">
      <c r="A27" s="42" t="str">
        <f t="array" ref="A27">IFERROR(INDEX('Agenda 2026'!A$2:A$376,MATCH(ROWS($A$7:$A27),'Agenda 2026'!$N$2:$N$376,0)),"")</f>
        <v/>
      </c>
      <c r="B27" s="43" t="str">
        <f t="array" ref="B27">IFERROR(INDEX('Agenda 2026'!P$2:P$376,MATCH(ROWS($A$7:$A27),'Agenda 2026'!$N$2:$N$376,0)),"")</f>
        <v/>
      </c>
      <c r="C27" s="44" t="str">
        <f t="array" ref="C27">IFERROR(INDEX('Agenda 2026'!B$2:B$376,MATCH(ROWS($A$7:$A27),'Agenda 2026'!$N$2:$N$376,0)),"")</f>
        <v/>
      </c>
      <c r="D27" s="44" t="str">
        <f t="array" ref="D27">IFERROR(INDEX('Agenda 2026'!C$2:C$376,MATCH(ROWS($A$7:$A27),'Agenda 2026'!$N$2:$N$376,0)),"")</f>
        <v/>
      </c>
      <c r="E27" s="44" t="str">
        <f t="array" ref="E27">IFERROR(INDEX('Agenda 2026'!D$2:D$376,MATCH(ROWS($A$7:$A27),'Agenda 2026'!$N$2:$N$376,0)),"")</f>
        <v/>
      </c>
      <c r="F27" s="45" t="str">
        <f t="array" ref="F27">IFERROR(INDEX('Agenda 2026'!E$2:E$376,MATCH(ROWS($A$7:$A27),'Agenda 2026'!$N$2:$N$376,0)),"")</f>
        <v/>
      </c>
      <c r="G27" s="44" t="str">
        <f t="array" ref="G27">IFERROR(INDEX('Agenda 2026'!F$2:F$376,MATCH(ROWS($A$7:$A27),'Agenda 2026'!$N$2:$N$376,0)),"")</f>
        <v/>
      </c>
      <c r="H27" s="44" t="str">
        <f t="array" ref="H27">IFERROR(INDEX('Agenda 2026'!G$2:G$376,MATCH(ROWS($A$7:$A27),'Agenda 2026'!$N$2:$N$376,0)),"")</f>
        <v/>
      </c>
      <c r="I27" s="46" t="str">
        <f t="array" ref="I27">IFERROR(INDEX('Agenda 2026'!H$2:H$376,MATCH(ROWS($A$7:$A27),'Agenda 2026'!$N$2:$N$376,0)),"")</f>
        <v/>
      </c>
      <c r="J27" s="47" t="s">
        <v>50</v>
      </c>
      <c r="K27" s="48" t="str">
        <f t="array" ref="K27">IFERROR(HYPERLINK(INDEX('Agenda 2026'!J$2:J$376,MATCH(ROWS($A$7:$A27),'Agenda 2026'!$N$2:$N$376,0)),"Ver fuente ↗"),"")</f>
        <v/>
      </c>
      <c r="L27" s="49" t="str">
        <f>IFERROR(INDEX('Agenda 2026'!K$2:K$376,MATCH(ROWS($A$7:$A27),'Agenda 2026'!$N$2:$N$376,0)),"")</f>
        <v/>
      </c>
      <c r="M27" s="50" t="str">
        <f t="array" ref="M27">IFERROR(INDEX('Agenda 2026'!O$2:O$376,MATCH(ROWS($A$7:$A27),'Agenda 2026'!$N$2:$N$376,0)),"")</f>
        <v/>
      </c>
    </row>
    <row r="28" spans="1:13" ht="42" customHeight="1" x14ac:dyDescent="0.35">
      <c r="A28" s="42" t="str">
        <f t="array" ref="A28">IFERROR(INDEX('Agenda 2026'!A$2:A$376,MATCH(ROWS($A$7:$A28),'Agenda 2026'!$N$2:$N$376,0)),"")</f>
        <v/>
      </c>
      <c r="B28" s="43" t="str">
        <f t="array" ref="B28">IFERROR(INDEX('Agenda 2026'!P$2:P$376,MATCH(ROWS($A$7:$A28),'Agenda 2026'!$N$2:$N$376,0)),"")</f>
        <v/>
      </c>
      <c r="C28" s="44" t="str">
        <f t="array" ref="C28">IFERROR(INDEX('Agenda 2026'!B$2:B$376,MATCH(ROWS($A$7:$A28),'Agenda 2026'!$N$2:$N$376,0)),"")</f>
        <v/>
      </c>
      <c r="D28" s="44" t="str">
        <f t="array" ref="D28">IFERROR(INDEX('Agenda 2026'!C$2:C$376,MATCH(ROWS($A$7:$A28),'Agenda 2026'!$N$2:$N$376,0)),"")</f>
        <v/>
      </c>
      <c r="E28" s="44" t="str">
        <f t="array" ref="E28">IFERROR(INDEX('Agenda 2026'!D$2:D$376,MATCH(ROWS($A$7:$A28),'Agenda 2026'!$N$2:$N$376,0)),"")</f>
        <v/>
      </c>
      <c r="F28" s="45" t="str">
        <f t="array" ref="F28">IFERROR(INDEX('Agenda 2026'!E$2:E$376,MATCH(ROWS($A$7:$A28),'Agenda 2026'!$N$2:$N$376,0)),"")</f>
        <v/>
      </c>
      <c r="G28" s="44" t="str">
        <f t="array" ref="G28">IFERROR(INDEX('Agenda 2026'!F$2:F$376,MATCH(ROWS($A$7:$A28),'Agenda 2026'!$N$2:$N$376,0)),"")</f>
        <v/>
      </c>
      <c r="H28" s="44" t="str">
        <f t="array" ref="H28">IFERROR(INDEX('Agenda 2026'!G$2:G$376,MATCH(ROWS($A$7:$A28),'Agenda 2026'!$N$2:$N$376,0)),"")</f>
        <v/>
      </c>
      <c r="I28" s="46" t="str">
        <f t="array" ref="I28">IFERROR(INDEX('Agenda 2026'!H$2:H$376,MATCH(ROWS($A$7:$A28),'Agenda 2026'!$N$2:$N$376,0)),"")</f>
        <v/>
      </c>
      <c r="J28" s="47" t="s">
        <v>50</v>
      </c>
      <c r="K28" s="48" t="str">
        <f t="array" ref="K28">IFERROR(HYPERLINK(INDEX('Agenda 2026'!J$2:J$376,MATCH(ROWS($A$7:$A28),'Agenda 2026'!$N$2:$N$376,0)),"Ver fuente ↗"),"")</f>
        <v/>
      </c>
      <c r="L28" s="49" t="str">
        <f t="array" ref="L28">IFERROR(INDEX('Agenda 2026'!K$2:K$376,MATCH(ROWS($A$7:$A28),'Agenda 2026'!$N$2:$N$376,0)),"")</f>
        <v/>
      </c>
      <c r="M28" s="50" t="str">
        <f t="array" ref="M28">IFERROR(INDEX('Agenda 2026'!O$2:O$376,MATCH(ROWS($A$7:$A28),'Agenda 2026'!$N$2:$N$376,0)),"")</f>
        <v/>
      </c>
    </row>
    <row r="29" spans="1:13" ht="42" customHeight="1" x14ac:dyDescent="0.35">
      <c r="A29" s="42" t="str">
        <f t="array" ref="A29">IFERROR(INDEX('Agenda 2026'!A$2:A$376,MATCH(ROWS($A$7:$A29),'Agenda 2026'!$N$2:$N$376,0)),"")</f>
        <v/>
      </c>
      <c r="B29" s="43" t="str">
        <f t="array" ref="B29">IFERROR(INDEX('Agenda 2026'!P$2:P$376,MATCH(ROWS($A$7:$A29),'Agenda 2026'!$N$2:$N$376,0)),"")</f>
        <v/>
      </c>
      <c r="C29" s="44" t="str">
        <f t="array" ref="C29">IFERROR(INDEX('Agenda 2026'!B$2:B$376,MATCH(ROWS($A$7:$A29),'Agenda 2026'!$N$2:$N$376,0)),"")</f>
        <v/>
      </c>
      <c r="D29" s="44" t="str">
        <f t="array" ref="D29">IFERROR(INDEX('Agenda 2026'!C$2:C$376,MATCH(ROWS($A$7:$A29),'Agenda 2026'!$N$2:$N$376,0)),"")</f>
        <v/>
      </c>
      <c r="E29" s="44" t="str">
        <f t="array" ref="E29">IFERROR(INDEX('Agenda 2026'!D$2:D$376,MATCH(ROWS($A$7:$A29),'Agenda 2026'!$N$2:$N$376,0)),"")</f>
        <v/>
      </c>
      <c r="F29" s="45" t="str">
        <f t="array" ref="F29">IFERROR(INDEX('Agenda 2026'!E$2:E$376,MATCH(ROWS($A$7:$A29),'Agenda 2026'!$N$2:$N$376,0)),"")</f>
        <v/>
      </c>
      <c r="G29" s="44" t="str">
        <f t="array" ref="G29">IFERROR(INDEX('Agenda 2026'!F$2:F$376,MATCH(ROWS($A$7:$A29),'Agenda 2026'!$N$2:$N$376,0)),"")</f>
        <v/>
      </c>
      <c r="H29" s="44" t="str">
        <f t="array" ref="H29">IFERROR(INDEX('Agenda 2026'!G$2:G$376,MATCH(ROWS($A$7:$A29),'Agenda 2026'!$N$2:$N$376,0)),"")</f>
        <v/>
      </c>
      <c r="I29" s="46" t="str">
        <f t="array" ref="I29">IFERROR(INDEX('Agenda 2026'!H$2:H$376,MATCH(ROWS($A$7:$A29),'Agenda 2026'!$N$2:$N$376,0)),"")</f>
        <v/>
      </c>
      <c r="J29" s="47" t="s">
        <v>50</v>
      </c>
      <c r="K29" s="48" t="str">
        <f t="array" ref="K29">IFERROR(HYPERLINK(INDEX('Agenda 2026'!J$2:J$376,MATCH(ROWS($A$7:$A29),'Agenda 2026'!$N$2:$N$376,0)),"Ver fuente ↗"),"")</f>
        <v/>
      </c>
      <c r="L29" s="49" t="str">
        <f t="array" ref="L29">IFERROR(INDEX('Agenda 2026'!K$2:K$376,MATCH(ROWS($A$7:$A29),'Agenda 2026'!$N$2:$N$376,0)),"")</f>
        <v/>
      </c>
      <c r="M29" s="50" t="str">
        <f t="array" ref="M29">IFERROR(INDEX('Agenda 2026'!O$2:O$376,MATCH(ROWS($A$7:$A29),'Agenda 2026'!$N$2:$N$376,0)),"")</f>
        <v/>
      </c>
    </row>
    <row r="30" spans="1:13" ht="42" customHeight="1" x14ac:dyDescent="0.35">
      <c r="A30" s="42" t="str">
        <f t="array" ref="A30">IFERROR(INDEX('Agenda 2026'!A$2:A$376,MATCH(ROWS($A$7:$A30),'Agenda 2026'!$N$2:$N$376,0)),"")</f>
        <v/>
      </c>
      <c r="B30" s="43" t="str">
        <f t="array" ref="B30">IFERROR(INDEX('Agenda 2026'!P$2:P$376,MATCH(ROWS($A$7:$A30),'Agenda 2026'!$N$2:$N$376,0)),"")</f>
        <v/>
      </c>
      <c r="C30" s="44" t="str">
        <f t="array" ref="C30">IFERROR(INDEX('Agenda 2026'!B$2:B$376,MATCH(ROWS($A$7:$A30),'Agenda 2026'!$N$2:$N$376,0)),"")</f>
        <v/>
      </c>
      <c r="D30" s="44" t="str">
        <f t="array" ref="D30">IFERROR(INDEX('Agenda 2026'!C$2:C$376,MATCH(ROWS($A$7:$A30),'Agenda 2026'!$N$2:$N$376,0)),"")</f>
        <v/>
      </c>
      <c r="E30" s="44" t="str">
        <f t="array" ref="E30">IFERROR(INDEX('Agenda 2026'!D$2:D$376,MATCH(ROWS($A$7:$A30),'Agenda 2026'!$N$2:$N$376,0)),"")</f>
        <v/>
      </c>
      <c r="F30" s="45" t="str">
        <f t="array" ref="F30">IFERROR(INDEX('Agenda 2026'!E$2:E$376,MATCH(ROWS($A$7:$A30),'Agenda 2026'!$N$2:$N$376,0)),"")</f>
        <v/>
      </c>
      <c r="G30" s="44" t="str">
        <f t="array" ref="G30">IFERROR(INDEX('Agenda 2026'!F$2:F$376,MATCH(ROWS($A$7:$A30),'Agenda 2026'!$N$2:$N$376,0)),"")</f>
        <v/>
      </c>
      <c r="H30" s="44" t="str">
        <f t="array" ref="H30">IFERROR(INDEX('Agenda 2026'!G$2:G$376,MATCH(ROWS($A$7:$A30),'Agenda 2026'!$N$2:$N$376,0)),"")</f>
        <v/>
      </c>
      <c r="I30" s="46" t="str">
        <f t="array" ref="I30">IFERROR(INDEX('Agenda 2026'!H$2:H$376,MATCH(ROWS($A$7:$A30),'Agenda 2026'!$N$2:$N$376,0)),"")</f>
        <v/>
      </c>
      <c r="J30" s="47" t="s">
        <v>50</v>
      </c>
      <c r="K30" s="48" t="str">
        <f t="array" ref="K30">IFERROR(HYPERLINK(INDEX('Agenda 2026'!J$2:J$376,MATCH(ROWS($A$7:$A30),'Agenda 2026'!$N$2:$N$376,0)),"Ver fuente ↗"),"")</f>
        <v/>
      </c>
      <c r="L30" s="49" t="str">
        <f t="array" ref="L30">IFERROR(INDEX('Agenda 2026'!K$2:K$376,MATCH(ROWS($A$7:$A30),'Agenda 2026'!$N$2:$N$376,0)),"")</f>
        <v/>
      </c>
      <c r="M30" s="50" t="str">
        <f t="array" ref="M30">IFERROR(INDEX('Agenda 2026'!O$2:O$376,MATCH(ROWS($A$7:$A30),'Agenda 2026'!$N$2:$N$376,0)),"")</f>
        <v/>
      </c>
    </row>
    <row r="31" spans="1:13" ht="42" customHeight="1" x14ac:dyDescent="0.35">
      <c r="A31" s="42" t="str">
        <f t="array" ref="A31">IFERROR(INDEX('Agenda 2026'!A$2:A$376,MATCH(ROWS($A$7:$A31),'Agenda 2026'!$N$2:$N$376,0)),"")</f>
        <v/>
      </c>
      <c r="B31" s="43" t="str">
        <f t="array" ref="B31">IFERROR(INDEX('Agenda 2026'!P$2:P$376,MATCH(ROWS($A$7:$A31),'Agenda 2026'!$N$2:$N$376,0)),"")</f>
        <v/>
      </c>
      <c r="C31" s="44" t="str">
        <f t="array" ref="C31">IFERROR(INDEX('Agenda 2026'!B$2:B$376,MATCH(ROWS($A$7:$A31),'Agenda 2026'!$N$2:$N$376,0)),"")</f>
        <v/>
      </c>
      <c r="D31" s="44" t="str">
        <f t="array" ref="D31">IFERROR(INDEX('Agenda 2026'!C$2:C$376,MATCH(ROWS($A$7:$A31),'Agenda 2026'!$N$2:$N$376,0)),"")</f>
        <v/>
      </c>
      <c r="E31" s="44" t="str">
        <f t="array" ref="E31">IFERROR(INDEX('Agenda 2026'!D$2:D$376,MATCH(ROWS($A$7:$A31),'Agenda 2026'!$N$2:$N$376,0)),"")</f>
        <v/>
      </c>
      <c r="F31" s="45" t="str">
        <f t="array" ref="F31">IFERROR(INDEX('Agenda 2026'!E$2:E$376,MATCH(ROWS($A$7:$A31),'Agenda 2026'!$N$2:$N$376,0)),"")</f>
        <v/>
      </c>
      <c r="G31" s="44" t="str">
        <f t="array" ref="G31">IFERROR(INDEX('Agenda 2026'!F$2:F$376,MATCH(ROWS($A$7:$A31),'Agenda 2026'!$N$2:$N$376,0)),"")</f>
        <v/>
      </c>
      <c r="H31" s="44" t="str">
        <f t="array" ref="H31">IFERROR(INDEX('Agenda 2026'!G$2:G$376,MATCH(ROWS($A$7:$A31),'Agenda 2026'!$N$2:$N$376,0)),"")</f>
        <v/>
      </c>
      <c r="I31" s="46" t="str">
        <f t="array" ref="I31">IFERROR(INDEX('Agenda 2026'!H$2:H$376,MATCH(ROWS($A$7:$A31),'Agenda 2026'!$N$2:$N$376,0)),"")</f>
        <v/>
      </c>
      <c r="J31" s="47" t="s">
        <v>50</v>
      </c>
      <c r="K31" s="48" t="str">
        <f t="array" ref="K31">IFERROR(HYPERLINK(INDEX('Agenda 2026'!J$2:J$376,MATCH(ROWS($A$7:$A31),'Agenda 2026'!$N$2:$N$376,0)),"Ver fuente ↗"),"")</f>
        <v/>
      </c>
      <c r="L31" s="49" t="str">
        <f>IFERROR(INDEX('Agenda 2026'!K$2:K$376,MATCH(ROWS($A$7:$A31),'Agenda 2026'!$N$2:$N$376,0)),"")</f>
        <v/>
      </c>
      <c r="M31" s="50" t="str">
        <f t="array" ref="M31">IFERROR(INDEX('Agenda 2026'!O$2:O$376,MATCH(ROWS($A$7:$A31),'Agenda 2026'!$N$2:$N$376,0)),"")</f>
        <v/>
      </c>
    </row>
    <row r="32" spans="1:13" ht="42" customHeight="1" x14ac:dyDescent="0.35">
      <c r="A32" s="42" t="str">
        <f t="array" ref="A32">IFERROR(INDEX('Agenda 2026'!A$2:A$376,MATCH(ROWS($A$7:$A32),'Agenda 2026'!$N$2:$N$376,0)),"")</f>
        <v/>
      </c>
      <c r="B32" s="43" t="str">
        <f t="array" ref="B32">IFERROR(INDEX('Agenda 2026'!P$2:P$376,MATCH(ROWS($A$7:$A32),'Agenda 2026'!$N$2:$N$376,0)),"")</f>
        <v/>
      </c>
      <c r="C32" s="44" t="str">
        <f t="array" ref="C32">IFERROR(INDEX('Agenda 2026'!B$2:B$376,MATCH(ROWS($A$7:$A32),'Agenda 2026'!$N$2:$N$376,0)),"")</f>
        <v/>
      </c>
      <c r="D32" s="44" t="str">
        <f t="array" ref="D32">IFERROR(INDEX('Agenda 2026'!C$2:C$376,MATCH(ROWS($A$7:$A32),'Agenda 2026'!$N$2:$N$376,0)),"")</f>
        <v/>
      </c>
      <c r="E32" s="44" t="str">
        <f t="array" ref="E32">IFERROR(INDEX('Agenda 2026'!D$2:D$376,MATCH(ROWS($A$7:$A32),'Agenda 2026'!$N$2:$N$376,0)),"")</f>
        <v/>
      </c>
      <c r="F32" s="45" t="str">
        <f t="array" ref="F32">IFERROR(INDEX('Agenda 2026'!E$2:E$376,MATCH(ROWS($A$7:$A32),'Agenda 2026'!$N$2:$N$376,0)),"")</f>
        <v/>
      </c>
      <c r="G32" s="44" t="str">
        <f t="array" ref="G32">IFERROR(INDEX('Agenda 2026'!F$2:F$376,MATCH(ROWS($A$7:$A32),'Agenda 2026'!$N$2:$N$376,0)),"")</f>
        <v/>
      </c>
      <c r="H32" s="44" t="str">
        <f t="array" ref="H32">IFERROR(INDEX('Agenda 2026'!G$2:G$376,MATCH(ROWS($A$7:$A32),'Agenda 2026'!$N$2:$N$376,0)),"")</f>
        <v/>
      </c>
      <c r="I32" s="46" t="str">
        <f t="array" ref="I32">IFERROR(INDEX('Agenda 2026'!H$2:H$376,MATCH(ROWS($A$7:$A32),'Agenda 2026'!$N$2:$N$376,0)),"")</f>
        <v/>
      </c>
      <c r="J32" s="47" t="s">
        <v>50</v>
      </c>
      <c r="K32" s="48" t="str">
        <f t="array" ref="K32">IFERROR(HYPERLINK(INDEX('Agenda 2026'!J$2:J$376,MATCH(ROWS($A$7:$A32),'Agenda 2026'!$N$2:$N$376,0)),"Ver fuente ↗"),"")</f>
        <v/>
      </c>
      <c r="L32" s="49" t="str">
        <f>IFERROR(INDEX('Agenda 2026'!K$2:K$376,MATCH(ROWS($A$7:$A32),'Agenda 2026'!$N$2:$N$376,0)),"")</f>
        <v/>
      </c>
      <c r="M32" s="50" t="str">
        <f t="array" ref="M32">IFERROR(INDEX('Agenda 2026'!O$2:O$376,MATCH(ROWS($A$7:$A32),'Agenda 2026'!$N$2:$N$376,0)),"")</f>
        <v/>
      </c>
    </row>
    <row r="33" spans="1:13" ht="42" customHeight="1" x14ac:dyDescent="0.35">
      <c r="A33" s="42" t="str">
        <f t="array" ref="A33">IFERROR(INDEX('Agenda 2026'!A$2:A$376,MATCH(ROWS($A$7:$A33),'Agenda 2026'!$N$2:$N$376,0)),"")</f>
        <v/>
      </c>
      <c r="B33" s="43" t="str">
        <f t="array" ref="B33">IFERROR(INDEX('Agenda 2026'!P$2:P$376,MATCH(ROWS($A$7:$A33),'Agenda 2026'!$N$2:$N$376,0)),"")</f>
        <v/>
      </c>
      <c r="C33" s="44" t="str">
        <f t="array" ref="C33">IFERROR(INDEX('Agenda 2026'!B$2:B$376,MATCH(ROWS($A$7:$A33),'Agenda 2026'!$N$2:$N$376,0)),"")</f>
        <v/>
      </c>
      <c r="D33" s="44" t="str">
        <f t="array" ref="D33">IFERROR(INDEX('Agenda 2026'!C$2:C$376,MATCH(ROWS($A$7:$A33),'Agenda 2026'!$N$2:$N$376,0)),"")</f>
        <v/>
      </c>
      <c r="E33" s="44" t="str">
        <f t="array" ref="E33">IFERROR(INDEX('Agenda 2026'!D$2:D$376,MATCH(ROWS($A$7:$A33),'Agenda 2026'!$N$2:$N$376,0)),"")</f>
        <v/>
      </c>
      <c r="F33" s="45" t="str">
        <f t="array" ref="F33">IFERROR(INDEX('Agenda 2026'!E$2:E$376,MATCH(ROWS($A$7:$A33),'Agenda 2026'!$N$2:$N$376,0)),"")</f>
        <v/>
      </c>
      <c r="G33" s="44" t="str">
        <f t="array" ref="G33">IFERROR(INDEX('Agenda 2026'!F$2:F$376,MATCH(ROWS($A$7:$A33),'Agenda 2026'!$N$2:$N$376,0)),"")</f>
        <v/>
      </c>
      <c r="H33" s="44" t="str">
        <f t="array" ref="H33">IFERROR(INDEX('Agenda 2026'!G$2:G$376,MATCH(ROWS($A$7:$A33),'Agenda 2026'!$N$2:$N$376,0)),"")</f>
        <v/>
      </c>
      <c r="I33" s="46" t="str">
        <f t="array" ref="I33">IFERROR(INDEX('Agenda 2026'!H$2:H$376,MATCH(ROWS($A$7:$A33),'Agenda 2026'!$N$2:$N$376,0)),"")</f>
        <v/>
      </c>
      <c r="J33" s="47" t="s">
        <v>50</v>
      </c>
      <c r="K33" s="48" t="str">
        <f t="array" ref="K33">IFERROR(HYPERLINK(INDEX('Agenda 2026'!J$2:J$376,MATCH(ROWS($A$7:$A33),'Agenda 2026'!$N$2:$N$376,0)),"Ver fuente ↗"),"")</f>
        <v/>
      </c>
      <c r="L33" s="49" t="str">
        <f>IFERROR(INDEX('Agenda 2026'!K$2:K$376,MATCH(ROWS($A$7:$A33),'Agenda 2026'!$N$2:$N$376,0)),"")</f>
        <v/>
      </c>
      <c r="M33" s="50" t="str">
        <f t="array" ref="M33">IFERROR(INDEX('Agenda 2026'!O$2:O$376,MATCH(ROWS($A$7:$A33),'Agenda 2026'!$N$2:$N$376,0)),"")</f>
        <v/>
      </c>
    </row>
    <row r="34" spans="1:13" ht="42" customHeight="1" x14ac:dyDescent="0.35">
      <c r="A34" s="42" t="str">
        <f t="array" ref="A34">IFERROR(INDEX('Agenda 2026'!A$2:A$376,MATCH(ROWS($A$7:$A34),'Agenda 2026'!$N$2:$N$376,0)),"")</f>
        <v/>
      </c>
      <c r="B34" s="43" t="str">
        <f t="array" ref="B34">IFERROR(INDEX('Agenda 2026'!P$2:P$376,MATCH(ROWS($A$7:$A34),'Agenda 2026'!$N$2:$N$376,0)),"")</f>
        <v/>
      </c>
      <c r="C34" s="44" t="str">
        <f t="array" ref="C34">IFERROR(INDEX('Agenda 2026'!B$2:B$376,MATCH(ROWS($A$7:$A34),'Agenda 2026'!$N$2:$N$376,0)),"")</f>
        <v/>
      </c>
      <c r="D34" s="44" t="str">
        <f t="array" ref="D34">IFERROR(INDEX('Agenda 2026'!C$2:C$376,MATCH(ROWS($A$7:$A34),'Agenda 2026'!$N$2:$N$376,0)),"")</f>
        <v/>
      </c>
      <c r="E34" s="44" t="str">
        <f t="array" ref="E34">IFERROR(INDEX('Agenda 2026'!D$2:D$376,MATCH(ROWS($A$7:$A34),'Agenda 2026'!$N$2:$N$376,0)),"")</f>
        <v/>
      </c>
      <c r="F34" s="45" t="str">
        <f t="array" ref="F34">IFERROR(INDEX('Agenda 2026'!E$2:E$376,MATCH(ROWS($A$7:$A34),'Agenda 2026'!$N$2:$N$376,0)),"")</f>
        <v/>
      </c>
      <c r="G34" s="44" t="str">
        <f t="array" ref="G34">IFERROR(INDEX('Agenda 2026'!F$2:F$376,MATCH(ROWS($A$7:$A34),'Agenda 2026'!$N$2:$N$376,0)),"")</f>
        <v/>
      </c>
      <c r="H34" s="44" t="str">
        <f t="array" ref="H34">IFERROR(INDEX('Agenda 2026'!G$2:G$376,MATCH(ROWS($A$7:$A34),'Agenda 2026'!$N$2:$N$376,0)),"")</f>
        <v/>
      </c>
      <c r="I34" s="46" t="str">
        <f t="array" ref="I34">IFERROR(INDEX('Agenda 2026'!H$2:H$376,MATCH(ROWS($A$7:$A34),'Agenda 2026'!$N$2:$N$376,0)),"")</f>
        <v/>
      </c>
      <c r="J34" s="47" t="s">
        <v>50</v>
      </c>
      <c r="K34" s="48" t="str">
        <f t="array" ref="K34">IFERROR(HYPERLINK(INDEX('Agenda 2026'!J$2:J$376,MATCH(ROWS($A$7:$A34),'Agenda 2026'!$N$2:$N$376,0)),"Ver fuente ↗"),"")</f>
        <v/>
      </c>
      <c r="L34" s="49" t="str">
        <f>IFERROR(INDEX('Agenda 2026'!K$2:K$376,MATCH(ROWS($A$7:$A34),'Agenda 2026'!$N$2:$N$376,0)),"")</f>
        <v/>
      </c>
      <c r="M34" s="50" t="str">
        <f t="array" ref="M34">IFERROR(INDEX('Agenda 2026'!O$2:O$376,MATCH(ROWS($A$7:$A34),'Agenda 2026'!$N$2:$N$376,0)),"")</f>
        <v/>
      </c>
    </row>
    <row r="35" spans="1:13" ht="42" customHeight="1" x14ac:dyDescent="0.35">
      <c r="A35" s="42" t="str">
        <f t="array" ref="A35">IFERROR(INDEX('Agenda 2026'!A$2:A$376,MATCH(ROWS($A$7:$A35),'Agenda 2026'!$N$2:$N$376,0)),"")</f>
        <v/>
      </c>
      <c r="B35" s="43" t="str">
        <f t="array" ref="B35">IFERROR(INDEX('Agenda 2026'!P$2:P$376,MATCH(ROWS($A$7:$A35),'Agenda 2026'!$N$2:$N$376,0)),"")</f>
        <v/>
      </c>
      <c r="C35" s="44" t="str">
        <f t="array" ref="C35">IFERROR(INDEX('Agenda 2026'!B$2:B$376,MATCH(ROWS($A$7:$A35),'Agenda 2026'!$N$2:$N$376,0)),"")</f>
        <v/>
      </c>
      <c r="D35" s="44" t="str">
        <f t="array" ref="D35">IFERROR(INDEX('Agenda 2026'!C$2:C$376,MATCH(ROWS($A$7:$A35),'Agenda 2026'!$N$2:$N$376,0)),"")</f>
        <v/>
      </c>
      <c r="E35" s="44" t="str">
        <f t="array" ref="E35">IFERROR(INDEX('Agenda 2026'!D$2:D$376,MATCH(ROWS($A$7:$A35),'Agenda 2026'!$N$2:$N$376,0)),"")</f>
        <v/>
      </c>
      <c r="F35" s="45" t="str">
        <f t="array" ref="F35">IFERROR(INDEX('Agenda 2026'!E$2:E$376,MATCH(ROWS($A$7:$A35),'Agenda 2026'!$N$2:$N$376,0)),"")</f>
        <v/>
      </c>
      <c r="G35" s="44" t="str">
        <f t="array" ref="G35">IFERROR(INDEX('Agenda 2026'!F$2:F$376,MATCH(ROWS($A$7:$A35),'Agenda 2026'!$N$2:$N$376,0)),"")</f>
        <v/>
      </c>
      <c r="H35" s="44" t="str">
        <f t="array" ref="H35">IFERROR(INDEX('Agenda 2026'!G$2:G$376,MATCH(ROWS($A$7:$A35),'Agenda 2026'!$N$2:$N$376,0)),"")</f>
        <v/>
      </c>
      <c r="I35" s="46" t="str">
        <f t="array" ref="I35">IFERROR(INDEX('Agenda 2026'!H$2:H$376,MATCH(ROWS($A$7:$A35),'Agenda 2026'!$N$2:$N$376,0)),"")</f>
        <v/>
      </c>
      <c r="J35" s="47" t="s">
        <v>50</v>
      </c>
      <c r="K35" s="48" t="str">
        <f t="array" ref="K35">IFERROR(HYPERLINK(INDEX('Agenda 2026'!J$2:J$376,MATCH(ROWS($A$7:$A35),'Agenda 2026'!$N$2:$N$376,0)),"Ver fuente ↗"),"")</f>
        <v/>
      </c>
      <c r="L35" s="49" t="str">
        <f>IFERROR(INDEX('Agenda 2026'!K$2:K$376,MATCH(ROWS($A$7:$A35),'Agenda 2026'!$N$2:$N$376,0)),"")</f>
        <v/>
      </c>
      <c r="M35" s="50" t="str">
        <f t="array" ref="M35">IFERROR(INDEX('Agenda 2026'!O$2:O$376,MATCH(ROWS($A$7:$A35),'Agenda 2026'!$N$2:$N$376,0)),"")</f>
        <v/>
      </c>
    </row>
    <row r="36" spans="1:13" ht="42" customHeight="1" x14ac:dyDescent="0.35">
      <c r="A36" s="42" t="str">
        <f t="array" ref="A36">IFERROR(INDEX('Agenda 2026'!A$2:A$376,MATCH(ROWS($A$7:$A36),'Agenda 2026'!$N$2:$N$376,0)),"")</f>
        <v/>
      </c>
      <c r="B36" s="43" t="str">
        <f t="array" ref="B36">IFERROR(INDEX('Agenda 2026'!P$2:P$376,MATCH(ROWS($A$7:$A36),'Agenda 2026'!$N$2:$N$376,0)),"")</f>
        <v/>
      </c>
      <c r="C36" s="44" t="str">
        <f t="array" ref="C36">IFERROR(INDEX('Agenda 2026'!B$2:B$376,MATCH(ROWS($A$7:$A36),'Agenda 2026'!$N$2:$N$376,0)),"")</f>
        <v/>
      </c>
      <c r="D36" s="44" t="str">
        <f t="array" ref="D36">IFERROR(INDEX('Agenda 2026'!C$2:C$376,MATCH(ROWS($A$7:$A36),'Agenda 2026'!$N$2:$N$376,0)),"")</f>
        <v/>
      </c>
      <c r="E36" s="44" t="str">
        <f t="array" ref="E36">IFERROR(INDEX('Agenda 2026'!D$2:D$376,MATCH(ROWS($A$7:$A36),'Agenda 2026'!$N$2:$N$376,0)),"")</f>
        <v/>
      </c>
      <c r="F36" s="45" t="str">
        <f t="array" ref="F36">IFERROR(INDEX('Agenda 2026'!E$2:E$376,MATCH(ROWS($A$7:$A36),'Agenda 2026'!$N$2:$N$376,0)),"")</f>
        <v/>
      </c>
      <c r="G36" s="44" t="str">
        <f t="array" ref="G36">IFERROR(INDEX('Agenda 2026'!F$2:F$376,MATCH(ROWS($A$7:$A36),'Agenda 2026'!$N$2:$N$376,0)),"")</f>
        <v/>
      </c>
      <c r="H36" s="44" t="str">
        <f t="array" ref="H36">IFERROR(INDEX('Agenda 2026'!G$2:G$376,MATCH(ROWS($A$7:$A36),'Agenda 2026'!$N$2:$N$376,0)),"")</f>
        <v/>
      </c>
      <c r="I36" s="46" t="str">
        <f t="array" ref="I36">IFERROR(INDEX('Agenda 2026'!H$2:H$376,MATCH(ROWS($A$7:$A36),'Agenda 2026'!$N$2:$N$376,0)),"")</f>
        <v/>
      </c>
      <c r="J36" s="47" t="s">
        <v>50</v>
      </c>
      <c r="K36" s="48" t="str">
        <f t="array" ref="K36">IFERROR(HYPERLINK(INDEX('Agenda 2026'!J$2:J$376,MATCH(ROWS($A$7:$A36),'Agenda 2026'!$N$2:$N$376,0)),"Ver fuente ↗"),"")</f>
        <v/>
      </c>
      <c r="L36" s="49" t="str">
        <f>IFERROR(INDEX('Agenda 2026'!K$2:K$376,MATCH(ROWS($A$7:$A36),'Agenda 2026'!$N$2:$N$376,0)),"")</f>
        <v/>
      </c>
      <c r="M36" s="50" t="str">
        <f t="array" ref="M36">IFERROR(INDEX('Agenda 2026'!O$2:O$376,MATCH(ROWS($A$7:$A36),'Agenda 2026'!$N$2:$N$376,0)),"")</f>
        <v/>
      </c>
    </row>
    <row r="37" spans="1:13" ht="42" customHeight="1" x14ac:dyDescent="0.35">
      <c r="A37" s="42" t="str">
        <f t="array" ref="A37">IFERROR(INDEX('Agenda 2026'!A$2:A$376,MATCH(ROWS($A$7:$A37),'Agenda 2026'!$N$2:$N$376,0)),"")</f>
        <v/>
      </c>
      <c r="B37" s="43" t="str">
        <f t="array" ref="B37">IFERROR(INDEX('Agenda 2026'!P$2:P$376,MATCH(ROWS($A$7:$A37),'Agenda 2026'!$N$2:$N$376,0)),"")</f>
        <v/>
      </c>
      <c r="C37" s="44" t="str">
        <f t="array" ref="C37">IFERROR(INDEX('Agenda 2026'!B$2:B$376,MATCH(ROWS($A$7:$A37),'Agenda 2026'!$N$2:$N$376,0)),"")</f>
        <v/>
      </c>
      <c r="D37" s="44" t="str">
        <f t="array" ref="D37">IFERROR(INDEX('Agenda 2026'!C$2:C$376,MATCH(ROWS($A$7:$A37),'Agenda 2026'!$N$2:$N$376,0)),"")</f>
        <v/>
      </c>
      <c r="E37" s="44" t="str">
        <f t="array" ref="E37">IFERROR(INDEX('Agenda 2026'!D$2:D$376,MATCH(ROWS($A$7:$A37),'Agenda 2026'!$N$2:$N$376,0)),"")</f>
        <v/>
      </c>
      <c r="F37" s="45" t="str">
        <f t="array" ref="F37">IFERROR(INDEX('Agenda 2026'!E$2:E$376,MATCH(ROWS($A$7:$A37),'Agenda 2026'!$N$2:$N$376,0)),"")</f>
        <v/>
      </c>
      <c r="G37" s="44" t="str">
        <f t="array" ref="G37">IFERROR(INDEX('Agenda 2026'!F$2:F$376,MATCH(ROWS($A$7:$A37),'Agenda 2026'!$N$2:$N$376,0)),"")</f>
        <v/>
      </c>
      <c r="H37" s="44" t="str">
        <f t="array" ref="H37">IFERROR(INDEX('Agenda 2026'!G$2:G$376,MATCH(ROWS($A$7:$A37),'Agenda 2026'!$N$2:$N$376,0)),"")</f>
        <v/>
      </c>
      <c r="I37" s="46" t="str">
        <f t="array" ref="I37">IFERROR(INDEX('Agenda 2026'!H$2:H$376,MATCH(ROWS($A$7:$A37),'Agenda 2026'!$N$2:$N$376,0)),"")</f>
        <v/>
      </c>
      <c r="J37" s="47" t="s">
        <v>50</v>
      </c>
      <c r="K37" s="48" t="str">
        <f t="array" ref="K37">IFERROR(HYPERLINK(INDEX('Agenda 2026'!J$2:J$376,MATCH(ROWS($A$7:$A37),'Agenda 2026'!$N$2:$N$376,0)),"Ver fuente ↗"),"")</f>
        <v/>
      </c>
      <c r="L37" s="49" t="str">
        <f t="array" ref="L37">IFERROR(INDEX('Agenda 2026'!K$2:K$376,MATCH(ROWS($A$7:$A37),'Agenda 2026'!$N$2:$N$376,0)),"")</f>
        <v/>
      </c>
      <c r="M37" s="50" t="str">
        <f t="array" ref="M37">IFERROR(INDEX('Agenda 2026'!O$2:O$376,MATCH(ROWS($A$7:$A37),'Agenda 2026'!$N$2:$N$376,0)),"")</f>
        <v/>
      </c>
    </row>
    <row r="38" spans="1:13" ht="42" customHeight="1" x14ac:dyDescent="0.35">
      <c r="A38" s="42" t="str">
        <f t="array" ref="A38">IFERROR(INDEX('Agenda 2026'!A$2:A$376,MATCH(ROWS($A$7:$A38),'Agenda 2026'!$N$2:$N$376,0)),"")</f>
        <v/>
      </c>
      <c r="B38" s="43" t="str">
        <f t="array" ref="B38">IFERROR(INDEX('Agenda 2026'!P$2:P$376,MATCH(ROWS($A$7:$A38),'Agenda 2026'!$N$2:$N$376,0)),"")</f>
        <v/>
      </c>
      <c r="C38" s="44" t="str">
        <f t="array" ref="C38">IFERROR(INDEX('Agenda 2026'!B$2:B$376,MATCH(ROWS($A$7:$A38),'Agenda 2026'!$N$2:$N$376,0)),"")</f>
        <v/>
      </c>
      <c r="D38" s="44" t="str">
        <f t="array" ref="D38">IFERROR(INDEX('Agenda 2026'!C$2:C$376,MATCH(ROWS($A$7:$A38),'Agenda 2026'!$N$2:$N$376,0)),"")</f>
        <v/>
      </c>
      <c r="E38" s="44" t="str">
        <f t="array" ref="E38">IFERROR(INDEX('Agenda 2026'!D$2:D$376,MATCH(ROWS($A$7:$A38),'Agenda 2026'!$N$2:$N$376,0)),"")</f>
        <v/>
      </c>
      <c r="F38" s="45" t="str">
        <f t="array" ref="F38">IFERROR(INDEX('Agenda 2026'!E$2:E$376,MATCH(ROWS($A$7:$A38),'Agenda 2026'!$N$2:$N$376,0)),"")</f>
        <v/>
      </c>
      <c r="G38" s="44" t="str">
        <f t="array" ref="G38">IFERROR(INDEX('Agenda 2026'!F$2:F$376,MATCH(ROWS($A$7:$A38),'Agenda 2026'!$N$2:$N$376,0)),"")</f>
        <v/>
      </c>
      <c r="H38" s="44" t="str">
        <f t="array" ref="H38">IFERROR(INDEX('Agenda 2026'!G$2:G$376,MATCH(ROWS($A$7:$A38),'Agenda 2026'!$N$2:$N$376,0)),"")</f>
        <v/>
      </c>
      <c r="I38" s="46" t="str">
        <f t="array" ref="I38">IFERROR(INDEX('Agenda 2026'!H$2:H$376,MATCH(ROWS($A$7:$A38),'Agenda 2026'!$N$2:$N$376,0)),"")</f>
        <v/>
      </c>
      <c r="J38" s="47" t="s">
        <v>50</v>
      </c>
      <c r="K38" s="48" t="str">
        <f t="array" ref="K38">IFERROR(HYPERLINK(INDEX('Agenda 2026'!J$2:J$376,MATCH(ROWS($A$7:$A38),'Agenda 2026'!$N$2:$N$376,0)),"Ver fuente ↗"),"")</f>
        <v/>
      </c>
      <c r="L38" s="49" t="str">
        <f t="array" ref="L38">IFERROR(INDEX('Agenda 2026'!K$2:K$376,MATCH(ROWS($A$7:$A38),'Agenda 2026'!$N$2:$N$376,0)),"")</f>
        <v/>
      </c>
      <c r="M38" s="50" t="str">
        <f t="array" ref="M38">IFERROR(INDEX('Agenda 2026'!O$2:O$376,MATCH(ROWS($A$7:$A38),'Agenda 2026'!$N$2:$N$376,0)),"")</f>
        <v/>
      </c>
    </row>
    <row r="39" spans="1:13" ht="42" customHeight="1" x14ac:dyDescent="0.35">
      <c r="A39" s="42" t="str">
        <f t="array" ref="A39">IFERROR(INDEX('Agenda 2026'!A$2:A$376,MATCH(ROWS($A$7:$A39),'Agenda 2026'!$N$2:$N$376,0)),"")</f>
        <v/>
      </c>
      <c r="B39" s="43" t="str">
        <f t="array" ref="B39">IFERROR(INDEX('Agenda 2026'!P$2:P$376,MATCH(ROWS($A$7:$A39),'Agenda 2026'!$N$2:$N$376,0)),"")</f>
        <v/>
      </c>
      <c r="C39" s="44" t="str">
        <f t="array" ref="C39">IFERROR(INDEX('Agenda 2026'!B$2:B$376,MATCH(ROWS($A$7:$A39),'Agenda 2026'!$N$2:$N$376,0)),"")</f>
        <v/>
      </c>
      <c r="D39" s="44" t="str">
        <f t="array" ref="D39">IFERROR(INDEX('Agenda 2026'!C$2:C$376,MATCH(ROWS($A$7:$A39),'Agenda 2026'!$N$2:$N$376,0)),"")</f>
        <v/>
      </c>
      <c r="E39" s="44" t="str">
        <f t="array" ref="E39">IFERROR(INDEX('Agenda 2026'!D$2:D$376,MATCH(ROWS($A$7:$A39),'Agenda 2026'!$N$2:$N$376,0)),"")</f>
        <v/>
      </c>
      <c r="F39" s="45" t="str">
        <f t="array" ref="F39">IFERROR(INDEX('Agenda 2026'!E$2:E$376,MATCH(ROWS($A$7:$A39),'Agenda 2026'!$N$2:$N$376,0)),"")</f>
        <v/>
      </c>
      <c r="G39" s="44" t="str">
        <f t="array" ref="G39">IFERROR(INDEX('Agenda 2026'!F$2:F$376,MATCH(ROWS($A$7:$A39),'Agenda 2026'!$N$2:$N$376,0)),"")</f>
        <v/>
      </c>
      <c r="H39" s="44" t="str">
        <f t="array" ref="H39">IFERROR(INDEX('Agenda 2026'!G$2:G$376,MATCH(ROWS($A$7:$A39),'Agenda 2026'!$N$2:$N$376,0)),"")</f>
        <v/>
      </c>
      <c r="I39" s="46" t="str">
        <f t="array" ref="I39">IFERROR(INDEX('Agenda 2026'!H$2:H$376,MATCH(ROWS($A$7:$A39),'Agenda 2026'!$N$2:$N$376,0)),"")</f>
        <v/>
      </c>
      <c r="J39" s="47" t="s">
        <v>50</v>
      </c>
      <c r="K39" s="48" t="str">
        <f t="array" ref="K39">IFERROR(HYPERLINK(INDEX('Agenda 2026'!J$2:J$376,MATCH(ROWS($A$7:$A39),'Agenda 2026'!$N$2:$N$376,0)),"Ver fuente ↗"),"")</f>
        <v/>
      </c>
      <c r="L39" s="49" t="str">
        <f>IFERROR(INDEX('Agenda 2026'!K$2:K$376,MATCH(ROWS($A$7:$A39),'Agenda 2026'!$N$2:$N$376,0)),"")</f>
        <v/>
      </c>
      <c r="M39" s="50" t="str">
        <f t="array" ref="M39">IFERROR(INDEX('Agenda 2026'!O$2:O$376,MATCH(ROWS($A$7:$A39),'Agenda 2026'!$N$2:$N$376,0)),"")</f>
        <v/>
      </c>
    </row>
    <row r="40" spans="1:13" ht="42" customHeight="1" x14ac:dyDescent="0.35">
      <c r="A40" s="42" t="str">
        <f t="array" ref="A40">IFERROR(INDEX('Agenda 2026'!A$2:A$376,MATCH(ROWS($A$7:$A40),'Agenda 2026'!$N$2:$N$376,0)),"")</f>
        <v/>
      </c>
      <c r="B40" s="43" t="str">
        <f t="array" ref="B40">IFERROR(INDEX('Agenda 2026'!P$2:P$376,MATCH(ROWS($A$7:$A40),'Agenda 2026'!$N$2:$N$376,0)),"")</f>
        <v/>
      </c>
      <c r="C40" s="44" t="str">
        <f t="array" ref="C40">IFERROR(INDEX('Agenda 2026'!B$2:B$376,MATCH(ROWS($A$7:$A40),'Agenda 2026'!$N$2:$N$376,0)),"")</f>
        <v/>
      </c>
      <c r="D40" s="44" t="str">
        <f t="array" ref="D40">IFERROR(INDEX('Agenda 2026'!C$2:C$376,MATCH(ROWS($A$7:$A40),'Agenda 2026'!$N$2:$N$376,0)),"")</f>
        <v/>
      </c>
      <c r="E40" s="44" t="str">
        <f t="array" ref="E40">IFERROR(INDEX('Agenda 2026'!D$2:D$376,MATCH(ROWS($A$7:$A40),'Agenda 2026'!$N$2:$N$376,0)),"")</f>
        <v/>
      </c>
      <c r="F40" s="45" t="str">
        <f t="array" ref="F40">IFERROR(INDEX('Agenda 2026'!E$2:E$376,MATCH(ROWS($A$7:$A40),'Agenda 2026'!$N$2:$N$376,0)),"")</f>
        <v/>
      </c>
      <c r="G40" s="44" t="str">
        <f t="array" ref="G40">IFERROR(INDEX('Agenda 2026'!F$2:F$376,MATCH(ROWS($A$7:$A40),'Agenda 2026'!$N$2:$N$376,0)),"")</f>
        <v/>
      </c>
      <c r="H40" s="44" t="str">
        <f t="array" ref="H40">IFERROR(INDEX('Agenda 2026'!G$2:G$376,MATCH(ROWS($A$7:$A40),'Agenda 2026'!$N$2:$N$376,0)),"")</f>
        <v/>
      </c>
      <c r="I40" s="46" t="str">
        <f t="array" ref="I40">IFERROR(INDEX('Agenda 2026'!H$2:H$376,MATCH(ROWS($A$7:$A40),'Agenda 2026'!$N$2:$N$376,0)),"")</f>
        <v/>
      </c>
      <c r="J40" s="47" t="s">
        <v>50</v>
      </c>
      <c r="K40" s="48" t="str">
        <f t="array" ref="K40">IFERROR(HYPERLINK(INDEX('Agenda 2026'!J$2:J$376,MATCH(ROWS($A$7:$A40),'Agenda 2026'!$N$2:$N$376,0)),"Ver fuente ↗"),"")</f>
        <v/>
      </c>
      <c r="L40" s="49" t="str">
        <f>IFERROR(INDEX('Agenda 2026'!K$2:K$376,MATCH(ROWS($A$7:$A40),'Agenda 2026'!$N$2:$N$376,0)),"")</f>
        <v/>
      </c>
      <c r="M40" s="50" t="str">
        <f t="array" ref="M40">IFERROR(INDEX('Agenda 2026'!O$2:O$376,MATCH(ROWS($A$7:$A40),'Agenda 2026'!$N$2:$N$376,0)),"")</f>
        <v/>
      </c>
    </row>
    <row r="41" spans="1:13" ht="42" customHeight="1" x14ac:dyDescent="0.35">
      <c r="A41" s="42" t="str">
        <f t="array" ref="A41">IFERROR(INDEX('Agenda 2026'!A$2:A$376,MATCH(ROWS($A$7:$A41),'Agenda 2026'!$N$2:$N$376,0)),"")</f>
        <v/>
      </c>
      <c r="B41" s="43" t="str">
        <f t="array" ref="B41">IFERROR(INDEX('Agenda 2026'!P$2:P$376,MATCH(ROWS($A$7:$A41),'Agenda 2026'!$N$2:$N$376,0)),"")</f>
        <v/>
      </c>
      <c r="C41" s="44" t="str">
        <f t="array" ref="C41">IFERROR(INDEX('Agenda 2026'!B$2:B$376,MATCH(ROWS($A$7:$A41),'Agenda 2026'!$N$2:$N$376,0)),"")</f>
        <v/>
      </c>
      <c r="D41" s="44" t="str">
        <f t="array" ref="D41">IFERROR(INDEX('Agenda 2026'!C$2:C$376,MATCH(ROWS($A$7:$A41),'Agenda 2026'!$N$2:$N$376,0)),"")</f>
        <v/>
      </c>
      <c r="E41" s="44" t="str">
        <f t="array" ref="E41">IFERROR(INDEX('Agenda 2026'!D$2:D$376,MATCH(ROWS($A$7:$A41),'Agenda 2026'!$N$2:$N$376,0)),"")</f>
        <v/>
      </c>
      <c r="F41" s="45" t="str">
        <f t="array" ref="F41">IFERROR(INDEX('Agenda 2026'!E$2:E$376,MATCH(ROWS($A$7:$A41),'Agenda 2026'!$N$2:$N$376,0)),"")</f>
        <v/>
      </c>
      <c r="G41" s="44" t="str">
        <f t="array" ref="G41">IFERROR(INDEX('Agenda 2026'!F$2:F$376,MATCH(ROWS($A$7:$A41),'Agenda 2026'!$N$2:$N$376,0)),"")</f>
        <v/>
      </c>
      <c r="H41" s="44" t="str">
        <f t="array" ref="H41">IFERROR(INDEX('Agenda 2026'!G$2:G$376,MATCH(ROWS($A$7:$A41),'Agenda 2026'!$N$2:$N$376,0)),"")</f>
        <v/>
      </c>
      <c r="I41" s="46" t="str">
        <f t="array" ref="I41">IFERROR(INDEX('Agenda 2026'!H$2:H$376,MATCH(ROWS($A$7:$A41),'Agenda 2026'!$N$2:$N$376,0)),"")</f>
        <v/>
      </c>
      <c r="J41" s="47" t="s">
        <v>50</v>
      </c>
      <c r="K41" s="48" t="str">
        <f t="array" ref="K41">IFERROR(HYPERLINK(INDEX('Agenda 2026'!J$2:J$376,MATCH(ROWS($A$7:$A41),'Agenda 2026'!$N$2:$N$376,0)),"Ver fuente ↗"),"")</f>
        <v/>
      </c>
      <c r="L41" s="49" t="str">
        <f t="array" ref="L41">IFERROR(INDEX('Agenda 2026'!K$2:K$376,MATCH(ROWS($A$7:$A41),'Agenda 2026'!$N$2:$N$376,0)),"")</f>
        <v/>
      </c>
      <c r="M41" s="50" t="str">
        <f t="array" ref="M41">IFERROR(INDEX('Agenda 2026'!O$2:O$376,MATCH(ROWS($A$7:$A41),'Agenda 2026'!$N$2:$N$376,0)),"")</f>
        <v/>
      </c>
    </row>
    <row r="42" spans="1:13" ht="42" customHeight="1" x14ac:dyDescent="0.35">
      <c r="A42" s="42" t="str">
        <f t="array" ref="A42">IFERROR(INDEX('Agenda 2026'!A$2:A$376,MATCH(ROWS($A$7:$A42),'Agenda 2026'!$N$2:$N$376,0)),"")</f>
        <v/>
      </c>
      <c r="B42" s="43" t="str">
        <f t="array" ref="B42">IFERROR(INDEX('Agenda 2026'!P$2:P$376,MATCH(ROWS($A$7:$A42),'Agenda 2026'!$N$2:$N$376,0)),"")</f>
        <v/>
      </c>
      <c r="C42" s="44" t="str">
        <f t="array" ref="C42">IFERROR(INDEX('Agenda 2026'!B$2:B$376,MATCH(ROWS($A$7:$A42),'Agenda 2026'!$N$2:$N$376,0)),"")</f>
        <v/>
      </c>
      <c r="D42" s="44" t="str">
        <f t="array" ref="D42">IFERROR(INDEX('Agenda 2026'!C$2:C$376,MATCH(ROWS($A$7:$A42),'Agenda 2026'!$N$2:$N$376,0)),"")</f>
        <v/>
      </c>
      <c r="E42" s="44" t="str">
        <f t="array" ref="E42">IFERROR(INDEX('Agenda 2026'!D$2:D$376,MATCH(ROWS($A$7:$A42),'Agenda 2026'!$N$2:$N$376,0)),"")</f>
        <v/>
      </c>
      <c r="F42" s="45" t="str">
        <f t="array" ref="F42">IFERROR(INDEX('Agenda 2026'!E$2:E$376,MATCH(ROWS($A$7:$A42),'Agenda 2026'!$N$2:$N$376,0)),"")</f>
        <v/>
      </c>
      <c r="G42" s="44" t="str">
        <f t="array" ref="G42">IFERROR(INDEX('Agenda 2026'!F$2:F$376,MATCH(ROWS($A$7:$A42),'Agenda 2026'!$N$2:$N$376,0)),"")</f>
        <v/>
      </c>
      <c r="H42" s="44" t="str">
        <f t="array" ref="H42">IFERROR(INDEX('Agenda 2026'!G$2:G$376,MATCH(ROWS($A$7:$A42),'Agenda 2026'!$N$2:$N$376,0)),"")</f>
        <v/>
      </c>
      <c r="I42" s="46" t="str">
        <f t="array" ref="I42">IFERROR(INDEX('Agenda 2026'!H$2:H$376,MATCH(ROWS($A$7:$A42),'Agenda 2026'!$N$2:$N$376,0)),"")</f>
        <v/>
      </c>
      <c r="J42" s="47" t="s">
        <v>50</v>
      </c>
      <c r="K42" s="48" t="str">
        <f t="array" ref="K42">IFERROR(HYPERLINK(INDEX('Agenda 2026'!J$2:J$376,MATCH(ROWS($A$7:$A42),'Agenda 2026'!$N$2:$N$376,0)),"Ver fuente ↗"),"")</f>
        <v/>
      </c>
      <c r="L42" s="49" t="str">
        <f t="array" ref="L42">IFERROR(INDEX('Agenda 2026'!K$2:K$376,MATCH(ROWS($A$7:$A42),'Agenda 2026'!$N$2:$N$376,0)),"")</f>
        <v/>
      </c>
      <c r="M42" s="50" t="str">
        <f t="array" ref="M42">IFERROR(INDEX('Agenda 2026'!O$2:O$376,MATCH(ROWS($A$7:$A42),'Agenda 2026'!$N$2:$N$376,0)),"")</f>
        <v/>
      </c>
    </row>
    <row r="43" spans="1:13" ht="42" customHeight="1" x14ac:dyDescent="0.35">
      <c r="A43" s="42" t="str">
        <f t="array" ref="A43">IFERROR(INDEX('Agenda 2026'!A$2:A$376,MATCH(ROWS($A$7:$A43),'Agenda 2026'!$N$2:$N$376,0)),"")</f>
        <v/>
      </c>
      <c r="B43" s="43" t="str">
        <f t="array" ref="B43">IFERROR(INDEX('Agenda 2026'!P$2:P$376,MATCH(ROWS($A$7:$A43),'Agenda 2026'!$N$2:$N$376,0)),"")</f>
        <v/>
      </c>
      <c r="C43" s="44" t="str">
        <f t="array" ref="C43">IFERROR(INDEX('Agenda 2026'!B$2:B$376,MATCH(ROWS($A$7:$A43),'Agenda 2026'!$N$2:$N$376,0)),"")</f>
        <v/>
      </c>
      <c r="D43" s="44" t="str">
        <f t="array" ref="D43">IFERROR(INDEX('Agenda 2026'!C$2:C$376,MATCH(ROWS($A$7:$A43),'Agenda 2026'!$N$2:$N$376,0)),"")</f>
        <v/>
      </c>
      <c r="E43" s="44" t="str">
        <f t="array" ref="E43">IFERROR(INDEX('Agenda 2026'!D$2:D$376,MATCH(ROWS($A$7:$A43),'Agenda 2026'!$N$2:$N$376,0)),"")</f>
        <v/>
      </c>
      <c r="F43" s="45" t="str">
        <f t="array" ref="F43">IFERROR(INDEX('Agenda 2026'!E$2:E$376,MATCH(ROWS($A$7:$A43),'Agenda 2026'!$N$2:$N$376,0)),"")</f>
        <v/>
      </c>
      <c r="G43" s="44" t="str">
        <f t="array" ref="G43">IFERROR(INDEX('Agenda 2026'!F$2:F$376,MATCH(ROWS($A$7:$A43),'Agenda 2026'!$N$2:$N$376,0)),"")</f>
        <v/>
      </c>
      <c r="H43" s="44" t="str">
        <f t="array" ref="H43">IFERROR(INDEX('Agenda 2026'!G$2:G$376,MATCH(ROWS($A$7:$A43),'Agenda 2026'!$N$2:$N$376,0)),"")</f>
        <v/>
      </c>
      <c r="I43" s="46" t="str">
        <f t="array" ref="I43">IFERROR(INDEX('Agenda 2026'!H$2:H$376,MATCH(ROWS($A$7:$A43),'Agenda 2026'!$N$2:$N$376,0)),"")</f>
        <v/>
      </c>
      <c r="J43" s="47" t="s">
        <v>50</v>
      </c>
      <c r="K43" s="48" t="str">
        <f t="array" ref="K43">IFERROR(HYPERLINK(INDEX('Agenda 2026'!J$2:J$376,MATCH(ROWS($A$7:$A43),'Agenda 2026'!$N$2:$N$376,0)),"Ver fuente ↗"),"")</f>
        <v/>
      </c>
      <c r="L43" s="49" t="str">
        <f>IFERROR(INDEX('Agenda 2026'!K$2:K$376,MATCH(ROWS($A$7:$A43),'Agenda 2026'!$N$2:$N$376,0)),"")</f>
        <v/>
      </c>
      <c r="M43" s="50" t="str">
        <f t="array" ref="M43">IFERROR(INDEX('Agenda 2026'!O$2:O$376,MATCH(ROWS($A$7:$A43),'Agenda 2026'!$N$2:$N$376,0)),"")</f>
        <v/>
      </c>
    </row>
    <row r="44" spans="1:13" ht="42" customHeight="1" x14ac:dyDescent="0.35">
      <c r="A44" s="42" t="str">
        <f t="array" ref="A44">IFERROR(INDEX('Agenda 2026'!A$2:A$376,MATCH(ROWS($A$7:$A44),'Agenda 2026'!$N$2:$N$376,0)),"")</f>
        <v/>
      </c>
      <c r="B44" s="43" t="str">
        <f t="array" ref="B44">IFERROR(INDEX('Agenda 2026'!P$2:P$376,MATCH(ROWS($A$7:$A44),'Agenda 2026'!$N$2:$N$376,0)),"")</f>
        <v/>
      </c>
      <c r="C44" s="44" t="str">
        <f t="array" ref="C44">IFERROR(INDEX('Agenda 2026'!B$2:B$376,MATCH(ROWS($A$7:$A44),'Agenda 2026'!$N$2:$N$376,0)),"")</f>
        <v/>
      </c>
      <c r="D44" s="44" t="str">
        <f t="array" ref="D44">IFERROR(INDEX('Agenda 2026'!C$2:C$376,MATCH(ROWS($A$7:$A44),'Agenda 2026'!$N$2:$N$376,0)),"")</f>
        <v/>
      </c>
      <c r="E44" s="44" t="str">
        <f t="array" ref="E44">IFERROR(INDEX('Agenda 2026'!D$2:D$376,MATCH(ROWS($A$7:$A44),'Agenda 2026'!$N$2:$N$376,0)),"")</f>
        <v/>
      </c>
      <c r="F44" s="45" t="str">
        <f t="array" ref="F44">IFERROR(INDEX('Agenda 2026'!E$2:E$376,MATCH(ROWS($A$7:$A44),'Agenda 2026'!$N$2:$N$376,0)),"")</f>
        <v/>
      </c>
      <c r="G44" s="44" t="str">
        <f t="array" ref="G44">IFERROR(INDEX('Agenda 2026'!F$2:F$376,MATCH(ROWS($A$7:$A44),'Agenda 2026'!$N$2:$N$376,0)),"")</f>
        <v/>
      </c>
      <c r="H44" s="44" t="str">
        <f t="array" ref="H44">IFERROR(INDEX('Agenda 2026'!G$2:G$376,MATCH(ROWS($A$7:$A44),'Agenda 2026'!$N$2:$N$376,0)),"")</f>
        <v/>
      </c>
      <c r="I44" s="46" t="str">
        <f t="array" ref="I44">IFERROR(INDEX('Agenda 2026'!H$2:H$376,MATCH(ROWS($A$7:$A44),'Agenda 2026'!$N$2:$N$376,0)),"")</f>
        <v/>
      </c>
      <c r="J44" s="47" t="s">
        <v>50</v>
      </c>
      <c r="K44" s="48" t="str">
        <f t="array" ref="K44">IFERROR(HYPERLINK(INDEX('Agenda 2026'!J$2:J$376,MATCH(ROWS($A$7:$A44),'Agenda 2026'!$N$2:$N$376,0)),"Ver fuente ↗"),"")</f>
        <v/>
      </c>
      <c r="L44" s="49" t="str">
        <f>IFERROR(INDEX('Agenda 2026'!K$2:K$376,MATCH(ROWS($A$7:$A44),'Agenda 2026'!$N$2:$N$376,0)),"")</f>
        <v/>
      </c>
      <c r="M44" s="50" t="str">
        <f t="array" ref="M44">IFERROR(INDEX('Agenda 2026'!O$2:O$376,MATCH(ROWS($A$7:$A44),'Agenda 2026'!$N$2:$N$376,0)),"")</f>
        <v/>
      </c>
    </row>
    <row r="45" spans="1:13" ht="42" customHeight="1" x14ac:dyDescent="0.35">
      <c r="A45" s="42" t="str">
        <f t="array" ref="A45">IFERROR(INDEX('Agenda 2026'!A$2:A$376,MATCH(ROWS($A$7:$A45),'Agenda 2026'!$N$2:$N$376,0)),"")</f>
        <v/>
      </c>
      <c r="B45" s="43" t="str">
        <f t="array" ref="B45">IFERROR(INDEX('Agenda 2026'!P$2:P$376,MATCH(ROWS($A$7:$A45),'Agenda 2026'!$N$2:$N$376,0)),"")</f>
        <v/>
      </c>
      <c r="C45" s="44" t="str">
        <f t="array" ref="C45">IFERROR(INDEX('Agenda 2026'!B$2:B$376,MATCH(ROWS($A$7:$A45),'Agenda 2026'!$N$2:$N$376,0)),"")</f>
        <v/>
      </c>
      <c r="D45" s="44" t="str">
        <f t="array" ref="D45">IFERROR(INDEX('Agenda 2026'!C$2:C$376,MATCH(ROWS($A$7:$A45),'Agenda 2026'!$N$2:$N$376,0)),"")</f>
        <v/>
      </c>
      <c r="E45" s="44" t="str">
        <f t="array" ref="E45">IFERROR(INDEX('Agenda 2026'!D$2:D$376,MATCH(ROWS($A$7:$A45),'Agenda 2026'!$N$2:$N$376,0)),"")</f>
        <v/>
      </c>
      <c r="F45" s="45" t="str">
        <f t="array" ref="F45">IFERROR(INDEX('Agenda 2026'!E$2:E$376,MATCH(ROWS($A$7:$A45),'Agenda 2026'!$N$2:$N$376,0)),"")</f>
        <v/>
      </c>
      <c r="G45" s="44" t="str">
        <f t="array" ref="G45">IFERROR(INDEX('Agenda 2026'!F$2:F$376,MATCH(ROWS($A$7:$A45),'Agenda 2026'!$N$2:$N$376,0)),"")</f>
        <v/>
      </c>
      <c r="H45" s="44" t="str">
        <f t="array" ref="H45">IFERROR(INDEX('Agenda 2026'!G$2:G$376,MATCH(ROWS($A$7:$A45),'Agenda 2026'!$N$2:$N$376,0)),"")</f>
        <v/>
      </c>
      <c r="I45" s="46" t="str">
        <f t="array" ref="I45">IFERROR(INDEX('Agenda 2026'!H$2:H$376,MATCH(ROWS($A$7:$A45),'Agenda 2026'!$N$2:$N$376,0)),"")</f>
        <v/>
      </c>
      <c r="J45" s="47" t="s">
        <v>50</v>
      </c>
      <c r="K45" s="48" t="str">
        <f t="array" ref="K45">IFERROR(HYPERLINK(INDEX('Agenda 2026'!J$2:J$376,MATCH(ROWS($A$7:$A45),'Agenda 2026'!$N$2:$N$376,0)),"Ver fuente ↗"),"")</f>
        <v/>
      </c>
      <c r="L45" s="49" t="str">
        <f>IFERROR(INDEX('Agenda 2026'!K$2:K$376,MATCH(ROWS($A$7:$A45),'Agenda 2026'!$N$2:$N$376,0)),"")</f>
        <v/>
      </c>
      <c r="M45" s="50" t="str">
        <f t="array" ref="M45">IFERROR(INDEX('Agenda 2026'!O$2:O$376,MATCH(ROWS($A$7:$A45),'Agenda 2026'!$N$2:$N$376,0)),"")</f>
        <v/>
      </c>
    </row>
    <row r="46" spans="1:13" ht="42" customHeight="1" x14ac:dyDescent="0.35">
      <c r="A46" s="42" t="str">
        <f t="array" ref="A46">IFERROR(INDEX('Agenda 2026'!A$2:A$376,MATCH(ROWS($A$7:$A46),'Agenda 2026'!$N$2:$N$376,0)),"")</f>
        <v/>
      </c>
      <c r="B46" s="43" t="str">
        <f t="array" ref="B46">IFERROR(INDEX('Agenda 2026'!P$2:P$376,MATCH(ROWS($A$7:$A46),'Agenda 2026'!$N$2:$N$376,0)),"")</f>
        <v/>
      </c>
      <c r="C46" s="44" t="str">
        <f t="array" ref="C46">IFERROR(INDEX('Agenda 2026'!B$2:B$376,MATCH(ROWS($A$7:$A46),'Agenda 2026'!$N$2:$N$376,0)),"")</f>
        <v/>
      </c>
      <c r="D46" s="44" t="str">
        <f t="array" ref="D46">IFERROR(INDEX('Agenda 2026'!C$2:C$376,MATCH(ROWS($A$7:$A46),'Agenda 2026'!$N$2:$N$376,0)),"")</f>
        <v/>
      </c>
      <c r="E46" s="44" t="str">
        <f t="array" ref="E46">IFERROR(INDEX('Agenda 2026'!D$2:D$376,MATCH(ROWS($A$7:$A46),'Agenda 2026'!$N$2:$N$376,0)),"")</f>
        <v/>
      </c>
      <c r="F46" s="45" t="str">
        <f t="array" ref="F46">IFERROR(INDEX('Agenda 2026'!E$2:E$376,MATCH(ROWS($A$7:$A46),'Agenda 2026'!$N$2:$N$376,0)),"")</f>
        <v/>
      </c>
      <c r="G46" s="44" t="str">
        <f t="array" ref="G46">IFERROR(INDEX('Agenda 2026'!F$2:F$376,MATCH(ROWS($A$7:$A46),'Agenda 2026'!$N$2:$N$376,0)),"")</f>
        <v/>
      </c>
      <c r="H46" s="44" t="str">
        <f t="array" ref="H46">IFERROR(INDEX('Agenda 2026'!G$2:G$376,MATCH(ROWS($A$7:$A46),'Agenda 2026'!$N$2:$N$376,0)),"")</f>
        <v/>
      </c>
      <c r="I46" s="46" t="str">
        <f t="array" ref="I46">IFERROR(INDEX('Agenda 2026'!H$2:H$376,MATCH(ROWS($A$7:$A46),'Agenda 2026'!$N$2:$N$376,0)),"")</f>
        <v/>
      </c>
      <c r="J46" s="47" t="s">
        <v>50</v>
      </c>
      <c r="K46" s="48" t="str">
        <f t="array" ref="K46">IFERROR(HYPERLINK(INDEX('Agenda 2026'!J$2:J$376,MATCH(ROWS($A$7:$A46),'Agenda 2026'!$N$2:$N$376,0)),"Ver fuente ↗"),"")</f>
        <v/>
      </c>
      <c r="L46" s="49" t="str">
        <f>IFERROR(INDEX('Agenda 2026'!K$2:K$376,MATCH(ROWS($A$7:$A46),'Agenda 2026'!$N$2:$N$376,0)),"")</f>
        <v/>
      </c>
      <c r="M46" s="50" t="str">
        <f t="array" ref="M46">IFERROR(INDEX('Agenda 2026'!O$2:O$376,MATCH(ROWS($A$7:$A46),'Agenda 2026'!$N$2:$N$376,0)),"")</f>
        <v/>
      </c>
    </row>
    <row r="47" spans="1:13" ht="42" customHeight="1" x14ac:dyDescent="0.35">
      <c r="A47" s="42" t="str">
        <f t="array" ref="A47">IFERROR(INDEX('Agenda 2026'!A$2:A$376,MATCH(ROWS($A$7:$A47),'Agenda 2026'!$N$2:$N$376,0)),"")</f>
        <v/>
      </c>
      <c r="B47" s="43" t="str">
        <f t="array" ref="B47">IFERROR(INDEX('Agenda 2026'!P$2:P$376,MATCH(ROWS($A$7:$A47),'Agenda 2026'!$N$2:$N$376,0)),"")</f>
        <v/>
      </c>
      <c r="C47" s="44" t="str">
        <f t="array" ref="C47">IFERROR(INDEX('Agenda 2026'!B$2:B$376,MATCH(ROWS($A$7:$A47),'Agenda 2026'!$N$2:$N$376,0)),"")</f>
        <v/>
      </c>
      <c r="D47" s="44" t="str">
        <f t="array" ref="D47">IFERROR(INDEX('Agenda 2026'!C$2:C$376,MATCH(ROWS($A$7:$A47),'Agenda 2026'!$N$2:$N$376,0)),"")</f>
        <v/>
      </c>
      <c r="E47" s="44" t="str">
        <f t="array" ref="E47">IFERROR(INDEX('Agenda 2026'!D$2:D$376,MATCH(ROWS($A$7:$A47),'Agenda 2026'!$N$2:$N$376,0)),"")</f>
        <v/>
      </c>
      <c r="F47" s="45" t="str">
        <f t="array" ref="F47">IFERROR(INDEX('Agenda 2026'!E$2:E$376,MATCH(ROWS($A$7:$A47),'Agenda 2026'!$N$2:$N$376,0)),"")</f>
        <v/>
      </c>
      <c r="G47" s="44" t="str">
        <f t="array" ref="G47">IFERROR(INDEX('Agenda 2026'!F$2:F$376,MATCH(ROWS($A$7:$A47),'Agenda 2026'!$N$2:$N$376,0)),"")</f>
        <v/>
      </c>
      <c r="H47" s="44" t="str">
        <f t="array" ref="H47">IFERROR(INDEX('Agenda 2026'!G$2:G$376,MATCH(ROWS($A$7:$A47),'Agenda 2026'!$N$2:$N$376,0)),"")</f>
        <v/>
      </c>
      <c r="I47" s="46" t="str">
        <f t="array" ref="I47">IFERROR(INDEX('Agenda 2026'!H$2:H$376,MATCH(ROWS($A$7:$A47),'Agenda 2026'!$N$2:$N$376,0)),"")</f>
        <v/>
      </c>
      <c r="J47" s="47" t="s">
        <v>50</v>
      </c>
      <c r="K47" s="48" t="str">
        <f t="array" ref="K47">IFERROR(HYPERLINK(INDEX('Agenda 2026'!J$2:J$376,MATCH(ROWS($A$7:$A47),'Agenda 2026'!$N$2:$N$376,0)),"Ver fuente ↗"),"")</f>
        <v/>
      </c>
      <c r="L47" s="49" t="str">
        <f>IFERROR(INDEX('Agenda 2026'!K$2:K$376,MATCH(ROWS($A$7:$A47),'Agenda 2026'!$N$2:$N$376,0)),"")</f>
        <v/>
      </c>
      <c r="M47" s="50" t="str">
        <f t="array" ref="M47">IFERROR(INDEX('Agenda 2026'!O$2:O$376,MATCH(ROWS($A$7:$A47),'Agenda 2026'!$N$2:$N$376,0)),"")</f>
        <v/>
      </c>
    </row>
    <row r="48" spans="1:13" ht="42" customHeight="1" x14ac:dyDescent="0.35">
      <c r="A48" s="42" t="str">
        <f t="array" ref="A48">IFERROR(INDEX('Agenda 2026'!A$2:A$376,MATCH(ROWS($A$7:$A48),'Agenda 2026'!$N$2:$N$376,0)),"")</f>
        <v/>
      </c>
      <c r="B48" s="43" t="str">
        <f t="array" ref="B48">IFERROR(INDEX('Agenda 2026'!P$2:P$376,MATCH(ROWS($A$7:$A48),'Agenda 2026'!$N$2:$N$376,0)),"")</f>
        <v/>
      </c>
      <c r="C48" s="44" t="str">
        <f t="array" ref="C48">IFERROR(INDEX('Agenda 2026'!B$2:B$376,MATCH(ROWS($A$7:$A48),'Agenda 2026'!$N$2:$N$376,0)),"")</f>
        <v/>
      </c>
      <c r="D48" s="44" t="str">
        <f t="array" ref="D48">IFERROR(INDEX('Agenda 2026'!C$2:C$376,MATCH(ROWS($A$7:$A48),'Agenda 2026'!$N$2:$N$376,0)),"")</f>
        <v/>
      </c>
      <c r="E48" s="44" t="str">
        <f t="array" ref="E48">IFERROR(INDEX('Agenda 2026'!D$2:D$376,MATCH(ROWS($A$7:$A48),'Agenda 2026'!$N$2:$N$376,0)),"")</f>
        <v/>
      </c>
      <c r="F48" s="45" t="str">
        <f t="array" ref="F48">IFERROR(INDEX('Agenda 2026'!E$2:E$376,MATCH(ROWS($A$7:$A48),'Agenda 2026'!$N$2:$N$376,0)),"")</f>
        <v/>
      </c>
      <c r="G48" s="44" t="str">
        <f t="array" ref="G48">IFERROR(INDEX('Agenda 2026'!F$2:F$376,MATCH(ROWS($A$7:$A48),'Agenda 2026'!$N$2:$N$376,0)),"")</f>
        <v/>
      </c>
      <c r="H48" s="44" t="str">
        <f t="array" ref="H48">IFERROR(INDEX('Agenda 2026'!G$2:G$376,MATCH(ROWS($A$7:$A48),'Agenda 2026'!$N$2:$N$376,0)),"")</f>
        <v/>
      </c>
      <c r="I48" s="46" t="str">
        <f t="array" ref="I48">IFERROR(INDEX('Agenda 2026'!H$2:H$376,MATCH(ROWS($A$7:$A48),'Agenda 2026'!$N$2:$N$376,0)),"")</f>
        <v/>
      </c>
      <c r="J48" s="47" t="s">
        <v>50</v>
      </c>
      <c r="K48" s="48" t="str">
        <f t="array" ref="K48">IFERROR(HYPERLINK(INDEX('Agenda 2026'!J$2:J$376,MATCH(ROWS($A$7:$A48),'Agenda 2026'!$N$2:$N$376,0)),"Ver fuente ↗"),"")</f>
        <v/>
      </c>
      <c r="L48" s="49" t="str">
        <f t="array" ref="L48">IFERROR(INDEX('Agenda 2026'!K$2:K$376,MATCH(ROWS($A$7:$A48),'Agenda 2026'!$N$2:$N$376,0)),"")</f>
        <v/>
      </c>
      <c r="M48" s="50" t="str">
        <f t="array" ref="M48">IFERROR(INDEX('Agenda 2026'!O$2:O$376,MATCH(ROWS($A$7:$A48),'Agenda 2026'!$N$2:$N$376,0)),"")</f>
        <v/>
      </c>
    </row>
    <row r="49" spans="1:13" ht="42" customHeight="1" x14ac:dyDescent="0.35">
      <c r="A49" s="42" t="str">
        <f t="array" ref="A49">IFERROR(INDEX('Agenda 2026'!A$2:A$376,MATCH(ROWS($A$7:$A49),'Agenda 2026'!$N$2:$N$376,0)),"")</f>
        <v/>
      </c>
      <c r="B49" s="43" t="str">
        <f t="array" ref="B49">IFERROR(INDEX('Agenda 2026'!P$2:P$376,MATCH(ROWS($A$7:$A49),'Agenda 2026'!$N$2:$N$376,0)),"")</f>
        <v/>
      </c>
      <c r="C49" s="44" t="str">
        <f t="array" ref="C49">IFERROR(INDEX('Agenda 2026'!B$2:B$376,MATCH(ROWS($A$7:$A49),'Agenda 2026'!$N$2:$N$376,0)),"")</f>
        <v/>
      </c>
      <c r="D49" s="44" t="str">
        <f t="array" ref="D49">IFERROR(INDEX('Agenda 2026'!C$2:C$376,MATCH(ROWS($A$7:$A49),'Agenda 2026'!$N$2:$N$376,0)),"")</f>
        <v/>
      </c>
      <c r="E49" s="44" t="str">
        <f t="array" ref="E49">IFERROR(INDEX('Agenda 2026'!D$2:D$376,MATCH(ROWS($A$7:$A49),'Agenda 2026'!$N$2:$N$376,0)),"")</f>
        <v/>
      </c>
      <c r="F49" s="45" t="str">
        <f t="array" ref="F49">IFERROR(INDEX('Agenda 2026'!E$2:E$376,MATCH(ROWS($A$7:$A49),'Agenda 2026'!$N$2:$N$376,0)),"")</f>
        <v/>
      </c>
      <c r="G49" s="44" t="str">
        <f t="array" ref="G49">IFERROR(INDEX('Agenda 2026'!F$2:F$376,MATCH(ROWS($A$7:$A49),'Agenda 2026'!$N$2:$N$376,0)),"")</f>
        <v/>
      </c>
      <c r="H49" s="44" t="str">
        <f t="array" ref="H49">IFERROR(INDEX('Agenda 2026'!G$2:G$376,MATCH(ROWS($A$7:$A49),'Agenda 2026'!$N$2:$N$376,0)),"")</f>
        <v/>
      </c>
      <c r="I49" s="46" t="str">
        <f t="array" ref="I49">IFERROR(INDEX('Agenda 2026'!H$2:H$376,MATCH(ROWS($A$7:$A49),'Agenda 2026'!$N$2:$N$376,0)),"")</f>
        <v/>
      </c>
      <c r="J49" s="47" t="s">
        <v>50</v>
      </c>
      <c r="K49" s="48" t="str">
        <f t="array" ref="K49">IFERROR(HYPERLINK(INDEX('Agenda 2026'!J$2:J$376,MATCH(ROWS($A$7:$A49),'Agenda 2026'!$N$2:$N$376,0)),"Ver fuente ↗"),"")</f>
        <v/>
      </c>
      <c r="L49" s="49" t="str">
        <f>IFERROR(INDEX('Agenda 2026'!K$2:K$376,MATCH(ROWS($A$7:$A49),'Agenda 2026'!$N$2:$N$376,0)),"")</f>
        <v/>
      </c>
      <c r="M49" s="50" t="str">
        <f t="array" ref="M49">IFERROR(INDEX('Agenda 2026'!O$2:O$376,MATCH(ROWS($A$7:$A49),'Agenda 2026'!$N$2:$N$376,0)),"")</f>
        <v/>
      </c>
    </row>
    <row r="50" spans="1:13" ht="42" customHeight="1" x14ac:dyDescent="0.35">
      <c r="A50" s="42" t="str">
        <f t="array" ref="A50">IFERROR(INDEX('Agenda 2026'!A$2:A$376,MATCH(ROWS($A$7:$A50),'Agenda 2026'!$N$2:$N$376,0)),"")</f>
        <v/>
      </c>
      <c r="B50" s="43" t="str">
        <f t="array" ref="B50">IFERROR(INDEX('Agenda 2026'!P$2:P$376,MATCH(ROWS($A$7:$A50),'Agenda 2026'!$N$2:$N$376,0)),"")</f>
        <v/>
      </c>
      <c r="C50" s="44" t="str">
        <f t="array" ref="C50">IFERROR(INDEX('Agenda 2026'!B$2:B$376,MATCH(ROWS($A$7:$A50),'Agenda 2026'!$N$2:$N$376,0)),"")</f>
        <v/>
      </c>
      <c r="D50" s="44" t="str">
        <f t="array" ref="D50">IFERROR(INDEX('Agenda 2026'!C$2:C$376,MATCH(ROWS($A$7:$A50),'Agenda 2026'!$N$2:$N$376,0)),"")</f>
        <v/>
      </c>
      <c r="E50" s="44" t="str">
        <f t="array" ref="E50">IFERROR(INDEX('Agenda 2026'!D$2:D$376,MATCH(ROWS($A$7:$A50),'Agenda 2026'!$N$2:$N$376,0)),"")</f>
        <v/>
      </c>
      <c r="F50" s="45" t="str">
        <f t="array" ref="F50">IFERROR(INDEX('Agenda 2026'!E$2:E$376,MATCH(ROWS($A$7:$A50),'Agenda 2026'!$N$2:$N$376,0)),"")</f>
        <v/>
      </c>
      <c r="G50" s="44" t="str">
        <f t="array" ref="G50">IFERROR(INDEX('Agenda 2026'!F$2:F$376,MATCH(ROWS($A$7:$A50),'Agenda 2026'!$N$2:$N$376,0)),"")</f>
        <v/>
      </c>
      <c r="H50" s="44" t="str">
        <f t="array" ref="H50">IFERROR(INDEX('Agenda 2026'!G$2:G$376,MATCH(ROWS($A$7:$A50),'Agenda 2026'!$N$2:$N$376,0)),"")</f>
        <v/>
      </c>
      <c r="I50" s="46" t="str">
        <f t="array" ref="I50">IFERROR(INDEX('Agenda 2026'!H$2:H$376,MATCH(ROWS($A$7:$A50),'Agenda 2026'!$N$2:$N$376,0)),"")</f>
        <v/>
      </c>
      <c r="J50" s="47" t="s">
        <v>50</v>
      </c>
      <c r="K50" s="48" t="str">
        <f t="array" ref="K50">IFERROR(HYPERLINK(INDEX('Agenda 2026'!J$2:J$376,MATCH(ROWS($A$7:$A50),'Agenda 2026'!$N$2:$N$376,0)),"Ver fuente ↗"),"")</f>
        <v/>
      </c>
      <c r="L50" s="49" t="str">
        <f t="array" ref="L50">IFERROR(INDEX('Agenda 2026'!K$2:K$376,MATCH(ROWS($A$7:$A50),'Agenda 2026'!$N$2:$N$376,0)),"")</f>
        <v/>
      </c>
      <c r="M50" s="50" t="str">
        <f t="array" ref="M50">IFERROR(INDEX('Agenda 2026'!O$2:O$376,MATCH(ROWS($A$7:$A50),'Agenda 2026'!$N$2:$N$376,0)),"")</f>
        <v/>
      </c>
    </row>
    <row r="51" spans="1:13" ht="42" customHeight="1" x14ac:dyDescent="0.35">
      <c r="A51" s="42" t="str">
        <f t="array" ref="A51">IFERROR(INDEX('Agenda 2026'!A$2:A$376,MATCH(ROWS($A$7:$A51),'Agenda 2026'!$N$2:$N$376,0)),"")</f>
        <v/>
      </c>
      <c r="B51" s="43" t="str">
        <f t="array" ref="B51">IFERROR(INDEX('Agenda 2026'!P$2:P$376,MATCH(ROWS($A$7:$A51),'Agenda 2026'!$N$2:$N$376,0)),"")</f>
        <v/>
      </c>
      <c r="C51" s="44" t="str">
        <f t="array" ref="C51">IFERROR(INDEX('Agenda 2026'!B$2:B$376,MATCH(ROWS($A$7:$A51),'Agenda 2026'!$N$2:$N$376,0)),"")</f>
        <v/>
      </c>
      <c r="D51" s="44" t="str">
        <f t="array" ref="D51">IFERROR(INDEX('Agenda 2026'!C$2:C$376,MATCH(ROWS($A$7:$A51),'Agenda 2026'!$N$2:$N$376,0)),"")</f>
        <v/>
      </c>
      <c r="E51" s="44" t="str">
        <f t="array" ref="E51">IFERROR(INDEX('Agenda 2026'!D$2:D$376,MATCH(ROWS($A$7:$A51),'Agenda 2026'!$N$2:$N$376,0)),"")</f>
        <v/>
      </c>
      <c r="F51" s="45" t="str">
        <f t="array" ref="F51">IFERROR(INDEX('Agenda 2026'!E$2:E$376,MATCH(ROWS($A$7:$A51),'Agenda 2026'!$N$2:$N$376,0)),"")</f>
        <v/>
      </c>
      <c r="G51" s="44" t="str">
        <f t="array" ref="G51">IFERROR(INDEX('Agenda 2026'!F$2:F$376,MATCH(ROWS($A$7:$A51),'Agenda 2026'!$N$2:$N$376,0)),"")</f>
        <v/>
      </c>
      <c r="H51" s="44" t="str">
        <f t="array" ref="H51">IFERROR(INDEX('Agenda 2026'!G$2:G$376,MATCH(ROWS($A$7:$A51),'Agenda 2026'!$N$2:$N$376,0)),"")</f>
        <v/>
      </c>
      <c r="I51" s="46" t="str">
        <f t="array" ref="I51">IFERROR(INDEX('Agenda 2026'!H$2:H$376,MATCH(ROWS($A$7:$A51),'Agenda 2026'!$N$2:$N$376,0)),"")</f>
        <v/>
      </c>
      <c r="J51" s="47" t="s">
        <v>50</v>
      </c>
      <c r="K51" s="48" t="str">
        <f t="array" ref="K51">IFERROR(HYPERLINK(INDEX('Agenda 2026'!J$2:J$376,MATCH(ROWS($A$7:$A51),'Agenda 2026'!$N$2:$N$376,0)),"Ver fuente ↗"),"")</f>
        <v/>
      </c>
      <c r="L51" s="49" t="str">
        <f>IFERROR(INDEX('Agenda 2026'!K$2:K$376,MATCH(ROWS($A$7:$A51),'Agenda 2026'!$N$2:$N$376,0)),"")</f>
        <v/>
      </c>
      <c r="M51" s="50" t="str">
        <f t="array" ref="M51">IFERROR(INDEX('Agenda 2026'!O$2:O$376,MATCH(ROWS($A$7:$A51),'Agenda 2026'!$N$2:$N$376,0)),"")</f>
        <v/>
      </c>
    </row>
    <row r="52" spans="1:13" ht="42" customHeight="1" x14ac:dyDescent="0.35">
      <c r="A52" s="42" t="str">
        <f t="array" ref="A52">IFERROR(INDEX('Agenda 2026'!A$2:A$376,MATCH(ROWS($A$7:$A52),'Agenda 2026'!$N$2:$N$376,0)),"")</f>
        <v/>
      </c>
      <c r="B52" s="43" t="str">
        <f t="array" ref="B52">IFERROR(INDEX('Agenda 2026'!P$2:P$376,MATCH(ROWS($A$7:$A52),'Agenda 2026'!$N$2:$N$376,0)),"")</f>
        <v/>
      </c>
      <c r="C52" s="44" t="str">
        <f t="array" ref="C52">IFERROR(INDEX('Agenda 2026'!B$2:B$376,MATCH(ROWS($A$7:$A52),'Agenda 2026'!$N$2:$N$376,0)),"")</f>
        <v/>
      </c>
      <c r="D52" s="44" t="str">
        <f t="array" ref="D52">IFERROR(INDEX('Agenda 2026'!C$2:C$376,MATCH(ROWS($A$7:$A52),'Agenda 2026'!$N$2:$N$376,0)),"")</f>
        <v/>
      </c>
      <c r="E52" s="44" t="str">
        <f t="array" ref="E52">IFERROR(INDEX('Agenda 2026'!D$2:D$376,MATCH(ROWS($A$7:$A52),'Agenda 2026'!$N$2:$N$376,0)),"")</f>
        <v/>
      </c>
      <c r="F52" s="45" t="str">
        <f t="array" ref="F52">IFERROR(INDEX('Agenda 2026'!E$2:E$376,MATCH(ROWS($A$7:$A52),'Agenda 2026'!$N$2:$N$376,0)),"")</f>
        <v/>
      </c>
      <c r="G52" s="44" t="str">
        <f t="array" ref="G52">IFERROR(INDEX('Agenda 2026'!F$2:F$376,MATCH(ROWS($A$7:$A52),'Agenda 2026'!$N$2:$N$376,0)),"")</f>
        <v/>
      </c>
      <c r="H52" s="44" t="str">
        <f t="array" ref="H52">IFERROR(INDEX('Agenda 2026'!G$2:G$376,MATCH(ROWS($A$7:$A52),'Agenda 2026'!$N$2:$N$376,0)),"")</f>
        <v/>
      </c>
      <c r="I52" s="46" t="str">
        <f t="array" ref="I52">IFERROR(INDEX('Agenda 2026'!H$2:H$376,MATCH(ROWS($A$7:$A52),'Agenda 2026'!$N$2:$N$376,0)),"")</f>
        <v/>
      </c>
      <c r="J52" s="47" t="s">
        <v>50</v>
      </c>
      <c r="K52" s="48" t="str">
        <f t="array" ref="K52">IFERROR(HYPERLINK(INDEX('Agenda 2026'!J$2:J$376,MATCH(ROWS($A$7:$A52),'Agenda 2026'!$N$2:$N$376,0)),"Ver fuente ↗"),"")</f>
        <v/>
      </c>
      <c r="L52" s="49" t="str">
        <f>IFERROR(INDEX('Agenda 2026'!K$2:K$376,MATCH(ROWS($A$7:$A52),'Agenda 2026'!$N$2:$N$376,0)),"")</f>
        <v/>
      </c>
      <c r="M52" s="50" t="str">
        <f t="array" ref="M52">IFERROR(INDEX('Agenda 2026'!O$2:O$376,MATCH(ROWS($A$7:$A52),'Agenda 2026'!$N$2:$N$376,0)),"")</f>
        <v/>
      </c>
    </row>
    <row r="53" spans="1:13" ht="42" customHeight="1" x14ac:dyDescent="0.35">
      <c r="A53" s="42" t="str">
        <f t="array" ref="A53">IFERROR(INDEX('Agenda 2026'!A$2:A$376,MATCH(ROWS($A$7:$A53),'Agenda 2026'!$N$2:$N$376,0)),"")</f>
        <v/>
      </c>
      <c r="B53" s="43" t="str">
        <f t="array" ref="B53">IFERROR(INDEX('Agenda 2026'!P$2:P$376,MATCH(ROWS($A$7:$A53),'Agenda 2026'!$N$2:$N$376,0)),"")</f>
        <v/>
      </c>
      <c r="C53" s="44" t="str">
        <f t="array" ref="C53">IFERROR(INDEX('Agenda 2026'!B$2:B$376,MATCH(ROWS($A$7:$A53),'Agenda 2026'!$N$2:$N$376,0)),"")</f>
        <v/>
      </c>
      <c r="D53" s="44" t="str">
        <f t="array" ref="D53">IFERROR(INDEX('Agenda 2026'!C$2:C$376,MATCH(ROWS($A$7:$A53),'Agenda 2026'!$N$2:$N$376,0)),"")</f>
        <v/>
      </c>
      <c r="E53" s="44" t="str">
        <f t="array" ref="E53">IFERROR(INDEX('Agenda 2026'!D$2:D$376,MATCH(ROWS($A$7:$A53),'Agenda 2026'!$N$2:$N$376,0)),"")</f>
        <v/>
      </c>
      <c r="F53" s="45" t="str">
        <f t="array" ref="F53">IFERROR(INDEX('Agenda 2026'!E$2:E$376,MATCH(ROWS($A$7:$A53),'Agenda 2026'!$N$2:$N$376,0)),"")</f>
        <v/>
      </c>
      <c r="G53" s="44" t="str">
        <f t="array" ref="G53">IFERROR(INDEX('Agenda 2026'!F$2:F$376,MATCH(ROWS($A$7:$A53),'Agenda 2026'!$N$2:$N$376,0)),"")</f>
        <v/>
      </c>
      <c r="H53" s="44" t="str">
        <f t="array" ref="H53">IFERROR(INDEX('Agenda 2026'!G$2:G$376,MATCH(ROWS($A$7:$A53),'Agenda 2026'!$N$2:$N$376,0)),"")</f>
        <v/>
      </c>
      <c r="I53" s="46" t="str">
        <f t="array" ref="I53">IFERROR(INDEX('Agenda 2026'!H$2:H$376,MATCH(ROWS($A$7:$A53),'Agenda 2026'!$N$2:$N$376,0)),"")</f>
        <v/>
      </c>
      <c r="J53" s="47" t="s">
        <v>50</v>
      </c>
      <c r="K53" s="48" t="str">
        <f t="array" ref="K53">IFERROR(HYPERLINK(INDEX('Agenda 2026'!J$2:J$376,MATCH(ROWS($A$7:$A53),'Agenda 2026'!$N$2:$N$376,0)),"Ver fuente ↗"),"")</f>
        <v/>
      </c>
      <c r="L53" s="49" t="str">
        <f t="array" ref="L53">IFERROR(INDEX('Agenda 2026'!K$2:K$376,MATCH(ROWS($A$7:$A53),'Agenda 2026'!$N$2:$N$376,0)),"")</f>
        <v/>
      </c>
      <c r="M53" s="50" t="str">
        <f t="array" ref="M53">IFERROR(INDEX('Agenda 2026'!O$2:O$376,MATCH(ROWS($A$7:$A53),'Agenda 2026'!$N$2:$N$376,0)),"")</f>
        <v/>
      </c>
    </row>
    <row r="54" spans="1:13" ht="42" customHeight="1" x14ac:dyDescent="0.35">
      <c r="A54" s="42" t="str">
        <f t="array" ref="A54">IFERROR(INDEX('Agenda 2026'!A$2:A$376,MATCH(ROWS($A$7:$A54),'Agenda 2026'!$N$2:$N$376,0)),"")</f>
        <v/>
      </c>
      <c r="B54" s="43" t="str">
        <f t="array" ref="B54">IFERROR(INDEX('Agenda 2026'!P$2:P$376,MATCH(ROWS($A$7:$A54),'Agenda 2026'!$N$2:$N$376,0)),"")</f>
        <v/>
      </c>
      <c r="C54" s="44" t="str">
        <f t="array" ref="C54">IFERROR(INDEX('Agenda 2026'!B$2:B$376,MATCH(ROWS($A$7:$A54),'Agenda 2026'!$N$2:$N$376,0)),"")</f>
        <v/>
      </c>
      <c r="D54" s="44" t="str">
        <f t="array" ref="D54">IFERROR(INDEX('Agenda 2026'!C$2:C$376,MATCH(ROWS($A$7:$A54),'Agenda 2026'!$N$2:$N$376,0)),"")</f>
        <v/>
      </c>
      <c r="E54" s="44" t="str">
        <f t="array" ref="E54">IFERROR(INDEX('Agenda 2026'!D$2:D$376,MATCH(ROWS($A$7:$A54),'Agenda 2026'!$N$2:$N$376,0)),"")</f>
        <v/>
      </c>
      <c r="F54" s="45" t="str">
        <f t="array" ref="F54">IFERROR(INDEX('Agenda 2026'!E$2:E$376,MATCH(ROWS($A$7:$A54),'Agenda 2026'!$N$2:$N$376,0)),"")</f>
        <v/>
      </c>
      <c r="G54" s="44" t="str">
        <f t="array" ref="G54">IFERROR(INDEX('Agenda 2026'!F$2:F$376,MATCH(ROWS($A$7:$A54),'Agenda 2026'!$N$2:$N$376,0)),"")</f>
        <v/>
      </c>
      <c r="H54" s="44" t="str">
        <f t="array" ref="H54">IFERROR(INDEX('Agenda 2026'!G$2:G$376,MATCH(ROWS($A$7:$A54),'Agenda 2026'!$N$2:$N$376,0)),"")</f>
        <v/>
      </c>
      <c r="I54" s="46" t="str">
        <f t="array" ref="I54">IFERROR(INDEX('Agenda 2026'!H$2:H$376,MATCH(ROWS($A$7:$A54),'Agenda 2026'!$N$2:$N$376,0)),"")</f>
        <v/>
      </c>
      <c r="J54" s="47" t="s">
        <v>50</v>
      </c>
      <c r="K54" s="48" t="str">
        <f t="array" ref="K54">IFERROR(HYPERLINK(INDEX('Agenda 2026'!J$2:J$376,MATCH(ROWS($A$7:$A54),'Agenda 2026'!$N$2:$N$376,0)),"Ver fuente ↗"),"")</f>
        <v/>
      </c>
      <c r="L54" s="49" t="str">
        <f t="array" ref="L54">IFERROR(INDEX('Agenda 2026'!K$2:K$376,MATCH(ROWS($A$7:$A54),'Agenda 2026'!$N$2:$N$376,0)),"")</f>
        <v/>
      </c>
      <c r="M54" s="50" t="str">
        <f t="array" ref="M54">IFERROR(INDEX('Agenda 2026'!O$2:O$376,MATCH(ROWS($A$7:$A54),'Agenda 2026'!$N$2:$N$376,0)),"")</f>
        <v/>
      </c>
    </row>
    <row r="55" spans="1:13" ht="42" customHeight="1" x14ac:dyDescent="0.35">
      <c r="A55" s="42" t="str">
        <f t="array" ref="A55">IFERROR(INDEX('Agenda 2026'!A$2:A$376,MATCH(ROWS($A$7:$A55),'Agenda 2026'!$N$2:$N$376,0)),"")</f>
        <v/>
      </c>
      <c r="B55" s="43" t="str">
        <f t="array" ref="B55">IFERROR(INDEX('Agenda 2026'!P$2:P$376,MATCH(ROWS($A$7:$A55),'Agenda 2026'!$N$2:$N$376,0)),"")</f>
        <v/>
      </c>
      <c r="C55" s="44" t="str">
        <f t="array" ref="C55">IFERROR(INDEX('Agenda 2026'!B$2:B$376,MATCH(ROWS($A$7:$A55),'Agenda 2026'!$N$2:$N$376,0)),"")</f>
        <v/>
      </c>
      <c r="D55" s="44" t="str">
        <f t="array" ref="D55">IFERROR(INDEX('Agenda 2026'!C$2:C$376,MATCH(ROWS($A$7:$A55),'Agenda 2026'!$N$2:$N$376,0)),"")</f>
        <v/>
      </c>
      <c r="E55" s="44" t="str">
        <f t="array" ref="E55">IFERROR(INDEX('Agenda 2026'!D$2:D$376,MATCH(ROWS($A$7:$A55),'Agenda 2026'!$N$2:$N$376,0)),"")</f>
        <v/>
      </c>
      <c r="F55" s="45" t="str">
        <f t="array" ref="F55">IFERROR(INDEX('Agenda 2026'!E$2:E$376,MATCH(ROWS($A$7:$A55),'Agenda 2026'!$N$2:$N$376,0)),"")</f>
        <v/>
      </c>
      <c r="G55" s="44" t="str">
        <f t="array" ref="G55">IFERROR(INDEX('Agenda 2026'!F$2:F$376,MATCH(ROWS($A$7:$A55),'Agenda 2026'!$N$2:$N$376,0)),"")</f>
        <v/>
      </c>
      <c r="H55" s="44" t="str">
        <f t="array" ref="H55">IFERROR(INDEX('Agenda 2026'!G$2:G$376,MATCH(ROWS($A$7:$A55),'Agenda 2026'!$N$2:$N$376,0)),"")</f>
        <v/>
      </c>
      <c r="I55" s="46" t="str">
        <f t="array" ref="I55">IFERROR(INDEX('Agenda 2026'!H$2:H$376,MATCH(ROWS($A$7:$A55),'Agenda 2026'!$N$2:$N$376,0)),"")</f>
        <v/>
      </c>
      <c r="J55" s="47" t="s">
        <v>50</v>
      </c>
      <c r="K55" s="48" t="str">
        <f t="array" ref="K55">IFERROR(HYPERLINK(INDEX('Agenda 2026'!J$2:J$376,MATCH(ROWS($A$7:$A55),'Agenda 2026'!$N$2:$N$376,0)),"Ver fuente ↗"),"")</f>
        <v/>
      </c>
      <c r="L55" s="49" t="str">
        <f>IFERROR(INDEX('Agenda 2026'!K$2:K$376,MATCH(ROWS($A$7:$A55),'Agenda 2026'!$N$2:$N$376,0)),"")</f>
        <v/>
      </c>
      <c r="M55" s="50" t="str">
        <f t="array" ref="M55">IFERROR(INDEX('Agenda 2026'!O$2:O$376,MATCH(ROWS($A$7:$A55),'Agenda 2026'!$N$2:$N$376,0)),"")</f>
        <v/>
      </c>
    </row>
    <row r="56" spans="1:13" ht="42" customHeight="1" x14ac:dyDescent="0.35">
      <c r="A56" s="42" t="str">
        <f t="array" ref="A56">IFERROR(INDEX('Agenda 2026'!A$2:A$376,MATCH(ROWS($A$7:$A56),'Agenda 2026'!$N$2:$N$376,0)),"")</f>
        <v/>
      </c>
      <c r="B56" s="43" t="str">
        <f t="array" ref="B56">IFERROR(INDEX('Agenda 2026'!P$2:P$376,MATCH(ROWS($A$7:$A56),'Agenda 2026'!$N$2:$N$376,0)),"")</f>
        <v/>
      </c>
      <c r="C56" s="44" t="str">
        <f t="array" ref="C56">IFERROR(INDEX('Agenda 2026'!B$2:B$376,MATCH(ROWS($A$7:$A56),'Agenda 2026'!$N$2:$N$376,0)),"")</f>
        <v/>
      </c>
      <c r="D56" s="44" t="str">
        <f t="array" ref="D56">IFERROR(INDEX('Agenda 2026'!C$2:C$376,MATCH(ROWS($A$7:$A56),'Agenda 2026'!$N$2:$N$376,0)),"")</f>
        <v/>
      </c>
      <c r="E56" s="44" t="str">
        <f t="array" ref="E56">IFERROR(INDEX('Agenda 2026'!D$2:D$376,MATCH(ROWS($A$7:$A56),'Agenda 2026'!$N$2:$N$376,0)),"")</f>
        <v/>
      </c>
      <c r="F56" s="45" t="str">
        <f t="array" ref="F56">IFERROR(INDEX('Agenda 2026'!E$2:E$376,MATCH(ROWS($A$7:$A56),'Agenda 2026'!$N$2:$N$376,0)),"")</f>
        <v/>
      </c>
      <c r="G56" s="44" t="str">
        <f t="array" ref="G56">IFERROR(INDEX('Agenda 2026'!F$2:F$376,MATCH(ROWS($A$7:$A56),'Agenda 2026'!$N$2:$N$376,0)),"")</f>
        <v/>
      </c>
      <c r="H56" s="44" t="str">
        <f t="array" ref="H56">IFERROR(INDEX('Agenda 2026'!G$2:G$376,MATCH(ROWS($A$7:$A56),'Agenda 2026'!$N$2:$N$376,0)),"")</f>
        <v/>
      </c>
      <c r="I56" s="46" t="str">
        <f t="array" ref="I56">IFERROR(INDEX('Agenda 2026'!H$2:H$376,MATCH(ROWS($A$7:$A56),'Agenda 2026'!$N$2:$N$376,0)),"")</f>
        <v/>
      </c>
      <c r="J56" s="47" t="s">
        <v>50</v>
      </c>
      <c r="K56" s="48" t="str">
        <f t="array" ref="K56">IFERROR(HYPERLINK(INDEX('Agenda 2026'!J$2:J$376,MATCH(ROWS($A$7:$A56),'Agenda 2026'!$N$2:$N$376,0)),"Ver fuente ↗"),"")</f>
        <v/>
      </c>
      <c r="L56" s="49" t="str">
        <f>IFERROR(INDEX('Agenda 2026'!K$2:K$376,MATCH(ROWS($A$7:$A56),'Agenda 2026'!$N$2:$N$376,0)),"")</f>
        <v/>
      </c>
      <c r="M56" s="50" t="str">
        <f t="array" ref="M56">IFERROR(INDEX('Agenda 2026'!O$2:O$376,MATCH(ROWS($A$7:$A56),'Agenda 2026'!$N$2:$N$376,0)),"")</f>
        <v/>
      </c>
    </row>
    <row r="57" spans="1:13" ht="42" customHeight="1" x14ac:dyDescent="0.35">
      <c r="A57" s="42" t="str">
        <f t="array" ref="A57">IFERROR(INDEX('Agenda 2026'!A$2:A$376,MATCH(ROWS($A$7:$A57),'Agenda 2026'!$N$2:$N$376,0)),"")</f>
        <v/>
      </c>
      <c r="B57" s="43" t="str">
        <f t="array" ref="B57">IFERROR(INDEX('Agenda 2026'!P$2:P$376,MATCH(ROWS($A$7:$A57),'Agenda 2026'!$N$2:$N$376,0)),"")</f>
        <v/>
      </c>
      <c r="C57" s="44" t="str">
        <f t="array" ref="C57">IFERROR(INDEX('Agenda 2026'!B$2:B$376,MATCH(ROWS($A$7:$A57),'Agenda 2026'!$N$2:$N$376,0)),"")</f>
        <v/>
      </c>
      <c r="D57" s="44" t="str">
        <f t="array" ref="D57">IFERROR(INDEX('Agenda 2026'!C$2:C$376,MATCH(ROWS($A$7:$A57),'Agenda 2026'!$N$2:$N$376,0)),"")</f>
        <v/>
      </c>
      <c r="E57" s="44" t="str">
        <f t="array" ref="E57">IFERROR(INDEX('Agenda 2026'!D$2:D$376,MATCH(ROWS($A$7:$A57),'Agenda 2026'!$N$2:$N$376,0)),"")</f>
        <v/>
      </c>
      <c r="F57" s="45" t="str">
        <f t="array" ref="F57">IFERROR(INDEX('Agenda 2026'!E$2:E$376,MATCH(ROWS($A$7:$A57),'Agenda 2026'!$N$2:$N$376,0)),"")</f>
        <v/>
      </c>
      <c r="G57" s="44" t="str">
        <f t="array" ref="G57">IFERROR(INDEX('Agenda 2026'!F$2:F$376,MATCH(ROWS($A$7:$A57),'Agenda 2026'!$N$2:$N$376,0)),"")</f>
        <v/>
      </c>
      <c r="H57" s="44" t="str">
        <f t="array" ref="H57">IFERROR(INDEX('Agenda 2026'!G$2:G$376,MATCH(ROWS($A$7:$A57),'Agenda 2026'!$N$2:$N$376,0)),"")</f>
        <v/>
      </c>
      <c r="I57" s="46" t="str">
        <f t="array" ref="I57">IFERROR(INDEX('Agenda 2026'!H$2:H$376,MATCH(ROWS($A$7:$A57),'Agenda 2026'!$N$2:$N$376,0)),"")</f>
        <v/>
      </c>
      <c r="J57" s="47" t="s">
        <v>50</v>
      </c>
      <c r="K57" s="48" t="str">
        <f t="array" ref="K57">IFERROR(HYPERLINK(INDEX('Agenda 2026'!J$2:J$376,MATCH(ROWS($A$7:$A57),'Agenda 2026'!$N$2:$N$376,0)),"Ver fuente ↗"),"")</f>
        <v/>
      </c>
      <c r="L57" s="49" t="str">
        <f>IFERROR(INDEX('Agenda 2026'!K$2:K$376,MATCH(ROWS($A$7:$A57),'Agenda 2026'!$N$2:$N$376,0)),"")</f>
        <v/>
      </c>
      <c r="M57" s="50" t="str">
        <f t="array" ref="M57">IFERROR(INDEX('Agenda 2026'!O$2:O$376,MATCH(ROWS($A$7:$A57),'Agenda 2026'!$N$2:$N$376,0)),"")</f>
        <v/>
      </c>
    </row>
    <row r="58" spans="1:13" ht="42" customHeight="1" x14ac:dyDescent="0.35">
      <c r="A58" s="42" t="str">
        <f t="array" ref="A58">IFERROR(INDEX('Agenda 2026'!A$2:A$376,MATCH(ROWS($A$7:$A58),'Agenda 2026'!$N$2:$N$376,0)),"")</f>
        <v/>
      </c>
      <c r="B58" s="43" t="str">
        <f t="array" ref="B58">IFERROR(INDEX('Agenda 2026'!P$2:P$376,MATCH(ROWS($A$7:$A58),'Agenda 2026'!$N$2:$N$376,0)),"")</f>
        <v/>
      </c>
      <c r="C58" s="44" t="str">
        <f t="array" ref="C58">IFERROR(INDEX('Agenda 2026'!B$2:B$376,MATCH(ROWS($A$7:$A58),'Agenda 2026'!$N$2:$N$376,0)),"")</f>
        <v/>
      </c>
      <c r="D58" s="44" t="str">
        <f t="array" ref="D58">IFERROR(INDEX('Agenda 2026'!C$2:C$376,MATCH(ROWS($A$7:$A58),'Agenda 2026'!$N$2:$N$376,0)),"")</f>
        <v/>
      </c>
      <c r="E58" s="44" t="str">
        <f t="array" ref="E58">IFERROR(INDEX('Agenda 2026'!D$2:D$376,MATCH(ROWS($A$7:$A58),'Agenda 2026'!$N$2:$N$376,0)),"")</f>
        <v/>
      </c>
      <c r="F58" s="45" t="str">
        <f t="array" ref="F58">IFERROR(INDEX('Agenda 2026'!E$2:E$376,MATCH(ROWS($A$7:$A58),'Agenda 2026'!$N$2:$N$376,0)),"")</f>
        <v/>
      </c>
      <c r="G58" s="44" t="str">
        <f t="array" ref="G58">IFERROR(INDEX('Agenda 2026'!F$2:F$376,MATCH(ROWS($A$7:$A58),'Agenda 2026'!$N$2:$N$376,0)),"")</f>
        <v/>
      </c>
      <c r="H58" s="44" t="str">
        <f t="array" ref="H58">IFERROR(INDEX('Agenda 2026'!G$2:G$376,MATCH(ROWS($A$7:$A58),'Agenda 2026'!$N$2:$N$376,0)),"")</f>
        <v/>
      </c>
      <c r="I58" s="46" t="str">
        <f t="array" ref="I58">IFERROR(INDEX('Agenda 2026'!H$2:H$376,MATCH(ROWS($A$7:$A58),'Agenda 2026'!$N$2:$N$376,0)),"")</f>
        <v/>
      </c>
      <c r="J58" s="47" t="s">
        <v>50</v>
      </c>
      <c r="K58" s="48" t="str">
        <f t="array" ref="K58">IFERROR(HYPERLINK(INDEX('Agenda 2026'!J$2:J$376,MATCH(ROWS($A$7:$A58),'Agenda 2026'!$N$2:$N$376,0)),"Ver fuente ↗"),"")</f>
        <v/>
      </c>
      <c r="L58" s="49" t="str">
        <f>IFERROR(INDEX('Agenda 2026'!K$2:K$376,MATCH(ROWS($A$7:$A58),'Agenda 2026'!$N$2:$N$376,0)),"")</f>
        <v/>
      </c>
      <c r="M58" s="50" t="str">
        <f t="array" ref="M58">IFERROR(INDEX('Agenda 2026'!O$2:O$376,MATCH(ROWS($A$7:$A58),'Agenda 2026'!$N$2:$N$376,0)),"")</f>
        <v/>
      </c>
    </row>
    <row r="59" spans="1:13" ht="42" customHeight="1" x14ac:dyDescent="0.35">
      <c r="A59" s="42" t="str">
        <f t="array" ref="A59">IFERROR(INDEX('Agenda 2026'!A$2:A$376,MATCH(ROWS($A$7:$A59),'Agenda 2026'!$N$2:$N$376,0)),"")</f>
        <v/>
      </c>
      <c r="B59" s="43" t="str">
        <f t="array" ref="B59">IFERROR(INDEX('Agenda 2026'!P$2:P$376,MATCH(ROWS($A$7:$A59),'Agenda 2026'!$N$2:$N$376,0)),"")</f>
        <v/>
      </c>
      <c r="C59" s="44" t="str">
        <f t="array" ref="C59">IFERROR(INDEX('Agenda 2026'!B$2:B$376,MATCH(ROWS($A$7:$A59),'Agenda 2026'!$N$2:$N$376,0)),"")</f>
        <v/>
      </c>
      <c r="D59" s="44" t="str">
        <f t="array" ref="D59">IFERROR(INDEX('Agenda 2026'!C$2:C$376,MATCH(ROWS($A$7:$A59),'Agenda 2026'!$N$2:$N$376,0)),"")</f>
        <v/>
      </c>
      <c r="E59" s="44" t="str">
        <f t="array" ref="E59">IFERROR(INDEX('Agenda 2026'!D$2:D$376,MATCH(ROWS($A$7:$A59),'Agenda 2026'!$N$2:$N$376,0)),"")</f>
        <v/>
      </c>
      <c r="F59" s="45" t="str">
        <f t="array" ref="F59">IFERROR(INDEX('Agenda 2026'!E$2:E$376,MATCH(ROWS($A$7:$A59),'Agenda 2026'!$N$2:$N$376,0)),"")</f>
        <v/>
      </c>
      <c r="G59" s="44" t="str">
        <f t="array" ref="G59">IFERROR(INDEX('Agenda 2026'!F$2:F$376,MATCH(ROWS($A$7:$A59),'Agenda 2026'!$N$2:$N$376,0)),"")</f>
        <v/>
      </c>
      <c r="H59" s="44" t="str">
        <f t="array" ref="H59">IFERROR(INDEX('Agenda 2026'!G$2:G$376,MATCH(ROWS($A$7:$A59),'Agenda 2026'!$N$2:$N$376,0)),"")</f>
        <v/>
      </c>
      <c r="I59" s="46" t="str">
        <f t="array" ref="I59">IFERROR(INDEX('Agenda 2026'!H$2:H$376,MATCH(ROWS($A$7:$A59),'Agenda 2026'!$N$2:$N$376,0)),"")</f>
        <v/>
      </c>
      <c r="J59" s="47" t="s">
        <v>50</v>
      </c>
      <c r="K59" s="48" t="str">
        <f t="array" ref="K59">IFERROR(HYPERLINK(INDEX('Agenda 2026'!J$2:J$376,MATCH(ROWS($A$7:$A59),'Agenda 2026'!$N$2:$N$376,0)),"Ver fuente ↗"),"")</f>
        <v/>
      </c>
      <c r="L59" s="49" t="str">
        <f>IFERROR(INDEX('Agenda 2026'!K$2:K$376,MATCH(ROWS($A$7:$A59),'Agenda 2026'!$N$2:$N$376,0)),"")</f>
        <v/>
      </c>
      <c r="M59" s="50" t="str">
        <f t="array" ref="M59">IFERROR(INDEX('Agenda 2026'!O$2:O$376,MATCH(ROWS($A$7:$A59),'Agenda 2026'!$N$2:$N$376,0)),"")</f>
        <v/>
      </c>
    </row>
    <row r="60" spans="1:13" ht="42" customHeight="1" x14ac:dyDescent="0.35">
      <c r="A60" s="42" t="str">
        <f t="array" ref="A60">IFERROR(INDEX('Agenda 2026'!A$2:A$376,MATCH(ROWS($A$7:$A60),'Agenda 2026'!$N$2:$N$376,0)),"")</f>
        <v/>
      </c>
      <c r="B60" s="43" t="str">
        <f t="array" ref="B60">IFERROR(INDEX('Agenda 2026'!P$2:P$376,MATCH(ROWS($A$7:$A60),'Agenda 2026'!$N$2:$N$376,0)),"")</f>
        <v/>
      </c>
      <c r="C60" s="44" t="str">
        <f t="array" ref="C60">IFERROR(INDEX('Agenda 2026'!B$2:B$376,MATCH(ROWS($A$7:$A60),'Agenda 2026'!$N$2:$N$376,0)),"")</f>
        <v/>
      </c>
      <c r="D60" s="44" t="str">
        <f t="array" ref="D60">IFERROR(INDEX('Agenda 2026'!C$2:C$376,MATCH(ROWS($A$7:$A60),'Agenda 2026'!$N$2:$N$376,0)),"")</f>
        <v/>
      </c>
      <c r="E60" s="44" t="str">
        <f t="array" ref="E60">IFERROR(INDEX('Agenda 2026'!D$2:D$376,MATCH(ROWS($A$7:$A60),'Agenda 2026'!$N$2:$N$376,0)),"")</f>
        <v/>
      </c>
      <c r="F60" s="45" t="str">
        <f t="array" ref="F60">IFERROR(INDEX('Agenda 2026'!E$2:E$376,MATCH(ROWS($A$7:$A60),'Agenda 2026'!$N$2:$N$376,0)),"")</f>
        <v/>
      </c>
      <c r="G60" s="44" t="str">
        <f t="array" ref="G60">IFERROR(INDEX('Agenda 2026'!F$2:F$376,MATCH(ROWS($A$7:$A60),'Agenda 2026'!$N$2:$N$376,0)),"")</f>
        <v/>
      </c>
      <c r="H60" s="44" t="str">
        <f t="array" ref="H60">IFERROR(INDEX('Agenda 2026'!G$2:G$376,MATCH(ROWS($A$7:$A60),'Agenda 2026'!$N$2:$N$376,0)),"")</f>
        <v/>
      </c>
      <c r="I60" s="46" t="str">
        <f t="array" ref="I60">IFERROR(INDEX('Agenda 2026'!H$2:H$376,MATCH(ROWS($A$7:$A60),'Agenda 2026'!$N$2:$N$376,0)),"")</f>
        <v/>
      </c>
      <c r="J60" s="47" t="s">
        <v>50</v>
      </c>
      <c r="K60" s="48" t="str">
        <f t="array" ref="K60">IFERROR(HYPERLINK(INDEX('Agenda 2026'!J$2:J$376,MATCH(ROWS($A$7:$A60),'Agenda 2026'!$N$2:$N$376,0)),"Ver fuente ↗"),"")</f>
        <v/>
      </c>
      <c r="L60" s="49" t="str">
        <f t="array" ref="L60">IFERROR(INDEX('Agenda 2026'!K$2:K$376,MATCH(ROWS($A$7:$A60),'Agenda 2026'!$N$2:$N$376,0)),"")</f>
        <v/>
      </c>
      <c r="M60" s="50" t="str">
        <f t="array" ref="M60">IFERROR(INDEX('Agenda 2026'!O$2:O$376,MATCH(ROWS($A$7:$A60),'Agenda 2026'!$N$2:$N$376,0)),"")</f>
        <v/>
      </c>
    </row>
    <row r="61" spans="1:13" ht="42" customHeight="1" x14ac:dyDescent="0.35">
      <c r="A61" s="42" t="str">
        <f t="array" ref="A61">IFERROR(INDEX('Agenda 2026'!A$2:A$376,MATCH(ROWS($A$7:$A61),'Agenda 2026'!$N$2:$N$376,0)),"")</f>
        <v/>
      </c>
      <c r="B61" s="43" t="str">
        <f t="array" ref="B61">IFERROR(INDEX('Agenda 2026'!P$2:P$376,MATCH(ROWS($A$7:$A61),'Agenda 2026'!$N$2:$N$376,0)),"")</f>
        <v/>
      </c>
      <c r="C61" s="44" t="str">
        <f t="array" ref="C61">IFERROR(INDEX('Agenda 2026'!B$2:B$376,MATCH(ROWS($A$7:$A61),'Agenda 2026'!$N$2:$N$376,0)),"")</f>
        <v/>
      </c>
      <c r="D61" s="44" t="str">
        <f t="array" ref="D61">IFERROR(INDEX('Agenda 2026'!C$2:C$376,MATCH(ROWS($A$7:$A61),'Agenda 2026'!$N$2:$N$376,0)),"")</f>
        <v/>
      </c>
      <c r="E61" s="44" t="str">
        <f t="array" ref="E61">IFERROR(INDEX('Agenda 2026'!D$2:D$376,MATCH(ROWS($A$7:$A61),'Agenda 2026'!$N$2:$N$376,0)),"")</f>
        <v/>
      </c>
      <c r="F61" s="45" t="str">
        <f t="array" ref="F61">IFERROR(INDEX('Agenda 2026'!E$2:E$376,MATCH(ROWS($A$7:$A61),'Agenda 2026'!$N$2:$N$376,0)),"")</f>
        <v/>
      </c>
      <c r="G61" s="44" t="str">
        <f t="array" ref="G61">IFERROR(INDEX('Agenda 2026'!F$2:F$376,MATCH(ROWS($A$7:$A61),'Agenda 2026'!$N$2:$N$376,0)),"")</f>
        <v/>
      </c>
      <c r="H61" s="44" t="str">
        <f t="array" ref="H61">IFERROR(INDEX('Agenda 2026'!G$2:G$376,MATCH(ROWS($A$7:$A61),'Agenda 2026'!$N$2:$N$376,0)),"")</f>
        <v/>
      </c>
      <c r="I61" s="46" t="str">
        <f t="array" ref="I61">IFERROR(INDEX('Agenda 2026'!H$2:H$376,MATCH(ROWS($A$7:$A61),'Agenda 2026'!$N$2:$N$376,0)),"")</f>
        <v/>
      </c>
      <c r="J61" s="47" t="s">
        <v>50</v>
      </c>
      <c r="K61" s="48" t="str">
        <f t="array" ref="K61">IFERROR(HYPERLINK(INDEX('Agenda 2026'!J$2:J$376,MATCH(ROWS($A$7:$A61),'Agenda 2026'!$N$2:$N$376,0)),"Ver fuente ↗"),"")</f>
        <v/>
      </c>
      <c r="L61" s="49" t="str">
        <f>IFERROR(INDEX('Agenda 2026'!K$2:K$376,MATCH(ROWS($A$7:$A61),'Agenda 2026'!$N$2:$N$376,0)),"")</f>
        <v/>
      </c>
      <c r="M61" s="50" t="str">
        <f t="array" ref="M61">IFERROR(INDEX('Agenda 2026'!O$2:O$376,MATCH(ROWS($A$7:$A61),'Agenda 2026'!$N$2:$N$376,0)),"")</f>
        <v/>
      </c>
    </row>
    <row r="62" spans="1:13" ht="42" customHeight="1" x14ac:dyDescent="0.35">
      <c r="A62" s="42" t="str">
        <f t="array" ref="A62">IFERROR(INDEX('Agenda 2026'!A$2:A$376,MATCH(ROWS($A$7:$A62),'Agenda 2026'!$N$2:$N$376,0)),"")</f>
        <v/>
      </c>
      <c r="B62" s="43" t="str">
        <f t="array" ref="B62">IFERROR(INDEX('Agenda 2026'!P$2:P$376,MATCH(ROWS($A$7:$A62),'Agenda 2026'!$N$2:$N$376,0)),"")</f>
        <v/>
      </c>
      <c r="C62" s="44" t="str">
        <f t="array" ref="C62">IFERROR(INDEX('Agenda 2026'!B$2:B$376,MATCH(ROWS($A$7:$A62),'Agenda 2026'!$N$2:$N$376,0)),"")</f>
        <v/>
      </c>
      <c r="D62" s="44" t="str">
        <f t="array" ref="D62">IFERROR(INDEX('Agenda 2026'!C$2:C$376,MATCH(ROWS($A$7:$A62),'Agenda 2026'!$N$2:$N$376,0)),"")</f>
        <v/>
      </c>
      <c r="E62" s="44" t="str">
        <f t="array" ref="E62">IFERROR(INDEX('Agenda 2026'!D$2:D$376,MATCH(ROWS($A$7:$A62),'Agenda 2026'!$N$2:$N$376,0)),"")</f>
        <v/>
      </c>
      <c r="F62" s="45" t="str">
        <f t="array" ref="F62">IFERROR(INDEX('Agenda 2026'!E$2:E$376,MATCH(ROWS($A$7:$A62),'Agenda 2026'!$N$2:$N$376,0)),"")</f>
        <v/>
      </c>
      <c r="G62" s="44" t="str">
        <f t="array" ref="G62">IFERROR(INDEX('Agenda 2026'!F$2:F$376,MATCH(ROWS($A$7:$A62),'Agenda 2026'!$N$2:$N$376,0)),"")</f>
        <v/>
      </c>
      <c r="H62" s="44" t="str">
        <f t="array" ref="H62">IFERROR(INDEX('Agenda 2026'!G$2:G$376,MATCH(ROWS($A$7:$A62),'Agenda 2026'!$N$2:$N$376,0)),"")</f>
        <v/>
      </c>
      <c r="I62" s="46" t="str">
        <f t="array" ref="I62">IFERROR(INDEX('Agenda 2026'!H$2:H$376,MATCH(ROWS($A$7:$A62),'Agenda 2026'!$N$2:$N$376,0)),"")</f>
        <v/>
      </c>
      <c r="J62" s="47" t="s">
        <v>50</v>
      </c>
      <c r="K62" s="48" t="str">
        <f t="array" ref="K62">IFERROR(HYPERLINK(INDEX('Agenda 2026'!J$2:J$376,MATCH(ROWS($A$7:$A62),'Agenda 2026'!$N$2:$N$376,0)),"Ver fuente ↗"),"")</f>
        <v/>
      </c>
      <c r="L62" s="49" t="str">
        <f t="array" ref="L62">IFERROR(INDEX('Agenda 2026'!K$2:K$376,MATCH(ROWS($A$7:$A62),'Agenda 2026'!$N$2:$N$376,0)),"")</f>
        <v/>
      </c>
      <c r="M62" s="50" t="str">
        <f t="array" ref="M62">IFERROR(INDEX('Agenda 2026'!O$2:O$376,MATCH(ROWS($A$7:$A62),'Agenda 2026'!$N$2:$N$376,0)),"")</f>
        <v/>
      </c>
    </row>
    <row r="63" spans="1:13" ht="42" customHeight="1" x14ac:dyDescent="0.35">
      <c r="A63" s="42" t="str">
        <f t="array" ref="A63">IFERROR(INDEX('Agenda 2026'!A$2:A$376,MATCH(ROWS($A$7:$A63),'Agenda 2026'!$N$2:$N$376,0)),"")</f>
        <v/>
      </c>
      <c r="B63" s="43" t="str">
        <f t="array" ref="B63">IFERROR(INDEX('Agenda 2026'!P$2:P$376,MATCH(ROWS($A$7:$A63),'Agenda 2026'!$N$2:$N$376,0)),"")</f>
        <v/>
      </c>
      <c r="C63" s="44" t="str">
        <f t="array" ref="C63">IFERROR(INDEX('Agenda 2026'!B$2:B$376,MATCH(ROWS($A$7:$A63),'Agenda 2026'!$N$2:$N$376,0)),"")</f>
        <v/>
      </c>
      <c r="D63" s="44" t="str">
        <f t="array" ref="D63">IFERROR(INDEX('Agenda 2026'!C$2:C$376,MATCH(ROWS($A$7:$A63),'Agenda 2026'!$N$2:$N$376,0)),"")</f>
        <v/>
      </c>
      <c r="E63" s="44" t="str">
        <f t="array" ref="E63">IFERROR(INDEX('Agenda 2026'!D$2:D$376,MATCH(ROWS($A$7:$A63),'Agenda 2026'!$N$2:$N$376,0)),"")</f>
        <v/>
      </c>
      <c r="F63" s="45" t="str">
        <f t="array" ref="F63">IFERROR(INDEX('Agenda 2026'!E$2:E$376,MATCH(ROWS($A$7:$A63),'Agenda 2026'!$N$2:$N$376,0)),"")</f>
        <v/>
      </c>
      <c r="G63" s="44" t="str">
        <f t="array" ref="G63">IFERROR(INDEX('Agenda 2026'!F$2:F$376,MATCH(ROWS($A$7:$A63),'Agenda 2026'!$N$2:$N$376,0)),"")</f>
        <v/>
      </c>
      <c r="H63" s="44" t="str">
        <f t="array" ref="H63">IFERROR(INDEX('Agenda 2026'!G$2:G$376,MATCH(ROWS($A$7:$A63),'Agenda 2026'!$N$2:$N$376,0)),"")</f>
        <v/>
      </c>
      <c r="I63" s="46" t="str">
        <f t="array" ref="I63">IFERROR(INDEX('Agenda 2026'!H$2:H$376,MATCH(ROWS($A$7:$A63),'Agenda 2026'!$N$2:$N$376,0)),"")</f>
        <v/>
      </c>
      <c r="J63" s="47" t="s">
        <v>50</v>
      </c>
      <c r="K63" s="48" t="str">
        <f t="array" ref="K63">IFERROR(HYPERLINK(INDEX('Agenda 2026'!J$2:J$376,MATCH(ROWS($A$7:$A63),'Agenda 2026'!$N$2:$N$376,0)),"Ver fuente ↗"),"")</f>
        <v/>
      </c>
      <c r="L63" s="49" t="str">
        <f>IFERROR(INDEX('Agenda 2026'!K$2:K$376,MATCH(ROWS($A$7:$A63),'Agenda 2026'!$N$2:$N$376,0)),"")</f>
        <v/>
      </c>
      <c r="M63" s="50" t="str">
        <f t="array" ref="M63">IFERROR(INDEX('Agenda 2026'!O$2:O$376,MATCH(ROWS($A$7:$A63),'Agenda 2026'!$N$2:$N$376,0)),"")</f>
        <v/>
      </c>
    </row>
    <row r="64" spans="1:13" ht="42" customHeight="1" x14ac:dyDescent="0.35">
      <c r="A64" s="42" t="str">
        <f t="array" ref="A64">IFERROR(INDEX('Agenda 2026'!A$2:A$376,MATCH(ROWS($A$7:$A64),'Agenda 2026'!$N$2:$N$376,0)),"")</f>
        <v/>
      </c>
      <c r="B64" s="43" t="str">
        <f t="array" ref="B64">IFERROR(INDEX('Agenda 2026'!P$2:P$376,MATCH(ROWS($A$7:$A64),'Agenda 2026'!$N$2:$N$376,0)),"")</f>
        <v/>
      </c>
      <c r="C64" s="44" t="str">
        <f t="array" ref="C64">IFERROR(INDEX('Agenda 2026'!B$2:B$376,MATCH(ROWS($A$7:$A64),'Agenda 2026'!$N$2:$N$376,0)),"")</f>
        <v/>
      </c>
      <c r="D64" s="44" t="str">
        <f t="array" ref="D64">IFERROR(INDEX('Agenda 2026'!C$2:C$376,MATCH(ROWS($A$7:$A64),'Agenda 2026'!$N$2:$N$376,0)),"")</f>
        <v/>
      </c>
      <c r="E64" s="44" t="str">
        <f t="array" ref="E64">IFERROR(INDEX('Agenda 2026'!D$2:D$376,MATCH(ROWS($A$7:$A64),'Agenda 2026'!$N$2:$N$376,0)),"")</f>
        <v/>
      </c>
      <c r="F64" s="45" t="str">
        <f t="array" ref="F64">IFERROR(INDEX('Agenda 2026'!E$2:E$376,MATCH(ROWS($A$7:$A64),'Agenda 2026'!$N$2:$N$376,0)),"")</f>
        <v/>
      </c>
      <c r="G64" s="44" t="str">
        <f t="array" ref="G64">IFERROR(INDEX('Agenda 2026'!F$2:F$376,MATCH(ROWS($A$7:$A64),'Agenda 2026'!$N$2:$N$376,0)),"")</f>
        <v/>
      </c>
      <c r="H64" s="44" t="str">
        <f t="array" ref="H64">IFERROR(INDEX('Agenda 2026'!G$2:G$376,MATCH(ROWS($A$7:$A64),'Agenda 2026'!$N$2:$N$376,0)),"")</f>
        <v/>
      </c>
      <c r="I64" s="46" t="str">
        <f t="array" ref="I64">IFERROR(INDEX('Agenda 2026'!H$2:H$376,MATCH(ROWS($A$7:$A64),'Agenda 2026'!$N$2:$N$376,0)),"")</f>
        <v/>
      </c>
      <c r="J64" s="47" t="s">
        <v>50</v>
      </c>
      <c r="K64" s="48" t="str">
        <f t="array" ref="K64">IFERROR(HYPERLINK(INDEX('Agenda 2026'!J$2:J$376,MATCH(ROWS($A$7:$A64),'Agenda 2026'!$N$2:$N$376,0)),"Ver fuente ↗"),"")</f>
        <v/>
      </c>
      <c r="L64" s="49" t="str">
        <f>IFERROR(INDEX('Agenda 2026'!K$2:K$376,MATCH(ROWS($A$7:$A64),'Agenda 2026'!$N$2:$N$376,0)),"")</f>
        <v/>
      </c>
      <c r="M64" s="50" t="str">
        <f t="array" ref="M64">IFERROR(INDEX('Agenda 2026'!O$2:O$376,MATCH(ROWS($A$7:$A64),'Agenda 2026'!$N$2:$N$376,0)),"")</f>
        <v/>
      </c>
    </row>
    <row r="65" spans="1:13" ht="42" customHeight="1" x14ac:dyDescent="0.35">
      <c r="A65" s="42" t="str">
        <f t="array" ref="A65">IFERROR(INDEX('Agenda 2026'!A$2:A$376,MATCH(ROWS($A$7:$A65),'Agenda 2026'!$N$2:$N$376,0)),"")</f>
        <v/>
      </c>
      <c r="B65" s="43" t="str">
        <f t="array" ref="B65">IFERROR(INDEX('Agenda 2026'!P$2:P$376,MATCH(ROWS($A$7:$A65),'Agenda 2026'!$N$2:$N$376,0)),"")</f>
        <v/>
      </c>
      <c r="C65" s="44" t="str">
        <f t="array" ref="C65">IFERROR(INDEX('Agenda 2026'!B$2:B$376,MATCH(ROWS($A$7:$A65),'Agenda 2026'!$N$2:$N$376,0)),"")</f>
        <v/>
      </c>
      <c r="D65" s="44" t="str">
        <f t="array" ref="D65">IFERROR(INDEX('Agenda 2026'!C$2:C$376,MATCH(ROWS($A$7:$A65),'Agenda 2026'!$N$2:$N$376,0)),"")</f>
        <v/>
      </c>
      <c r="E65" s="44" t="str">
        <f t="array" ref="E65">IFERROR(INDEX('Agenda 2026'!D$2:D$376,MATCH(ROWS($A$7:$A65),'Agenda 2026'!$N$2:$N$376,0)),"")</f>
        <v/>
      </c>
      <c r="F65" s="45" t="str">
        <f t="array" ref="F65">IFERROR(INDEX('Agenda 2026'!E$2:E$376,MATCH(ROWS($A$7:$A65),'Agenda 2026'!$N$2:$N$376,0)),"")</f>
        <v/>
      </c>
      <c r="G65" s="44" t="str">
        <f t="array" ref="G65">IFERROR(INDEX('Agenda 2026'!F$2:F$376,MATCH(ROWS($A$7:$A65),'Agenda 2026'!$N$2:$N$376,0)),"")</f>
        <v/>
      </c>
      <c r="H65" s="44" t="str">
        <f t="array" ref="H65">IFERROR(INDEX('Agenda 2026'!G$2:G$376,MATCH(ROWS($A$7:$A65),'Agenda 2026'!$N$2:$N$376,0)),"")</f>
        <v/>
      </c>
      <c r="I65" s="46" t="str">
        <f t="array" ref="I65">IFERROR(INDEX('Agenda 2026'!H$2:H$376,MATCH(ROWS($A$7:$A65),'Agenda 2026'!$N$2:$N$376,0)),"")</f>
        <v/>
      </c>
      <c r="J65" s="47" t="s">
        <v>50</v>
      </c>
      <c r="K65" s="48" t="str">
        <f t="array" ref="K65">IFERROR(HYPERLINK(INDEX('Agenda 2026'!J$2:J$376,MATCH(ROWS($A$7:$A65),'Agenda 2026'!$N$2:$N$376,0)),"Ver fuente ↗"),"")</f>
        <v/>
      </c>
      <c r="L65" s="49" t="str">
        <f t="array" ref="L65">IFERROR(INDEX('Agenda 2026'!K$2:K$376,MATCH(ROWS($A$7:$A65),'Agenda 2026'!$N$2:$N$376,0)),"")</f>
        <v/>
      </c>
      <c r="M65" s="50" t="str">
        <f t="array" ref="M65">IFERROR(INDEX('Agenda 2026'!O$2:O$376,MATCH(ROWS($A$7:$A65),'Agenda 2026'!$N$2:$N$376,0)),"")</f>
        <v/>
      </c>
    </row>
    <row r="66" spans="1:13" ht="42" customHeight="1" x14ac:dyDescent="0.35">
      <c r="A66" s="42" t="str">
        <f t="array" ref="A66">IFERROR(INDEX('Agenda 2026'!A$2:A$376,MATCH(ROWS($A$7:$A66),'Agenda 2026'!$N$2:$N$376,0)),"")</f>
        <v/>
      </c>
      <c r="B66" s="43" t="str">
        <f t="array" ref="B66">IFERROR(INDEX('Agenda 2026'!P$2:P$376,MATCH(ROWS($A$7:$A66),'Agenda 2026'!$N$2:$N$376,0)),"")</f>
        <v/>
      </c>
      <c r="C66" s="44" t="str">
        <f t="array" ref="C66">IFERROR(INDEX('Agenda 2026'!B$2:B$376,MATCH(ROWS($A$7:$A66),'Agenda 2026'!$N$2:$N$376,0)),"")</f>
        <v/>
      </c>
      <c r="D66" s="44" t="str">
        <f t="array" ref="D66">IFERROR(INDEX('Agenda 2026'!C$2:C$376,MATCH(ROWS($A$7:$A66),'Agenda 2026'!$N$2:$N$376,0)),"")</f>
        <v/>
      </c>
      <c r="E66" s="44" t="str">
        <f t="array" ref="E66">IFERROR(INDEX('Agenda 2026'!D$2:D$376,MATCH(ROWS($A$7:$A66),'Agenda 2026'!$N$2:$N$376,0)),"")</f>
        <v/>
      </c>
      <c r="F66" s="45" t="str">
        <f t="array" ref="F66">IFERROR(INDEX('Agenda 2026'!E$2:E$376,MATCH(ROWS($A$7:$A66),'Agenda 2026'!$N$2:$N$376,0)),"")</f>
        <v/>
      </c>
      <c r="G66" s="44" t="str">
        <f t="array" ref="G66">IFERROR(INDEX('Agenda 2026'!F$2:F$376,MATCH(ROWS($A$7:$A66),'Agenda 2026'!$N$2:$N$376,0)),"")</f>
        <v/>
      </c>
      <c r="H66" s="44" t="str">
        <f t="array" ref="H66">IFERROR(INDEX('Agenda 2026'!G$2:G$376,MATCH(ROWS($A$7:$A66),'Agenda 2026'!$N$2:$N$376,0)),"")</f>
        <v/>
      </c>
      <c r="I66" s="46" t="str">
        <f t="array" ref="I66">IFERROR(INDEX('Agenda 2026'!H$2:H$376,MATCH(ROWS($A$7:$A66),'Agenda 2026'!$N$2:$N$376,0)),"")</f>
        <v/>
      </c>
      <c r="J66" s="47" t="s">
        <v>50</v>
      </c>
      <c r="K66" s="48" t="str">
        <f t="array" ref="K66">IFERROR(HYPERLINK(INDEX('Agenda 2026'!J$2:J$376,MATCH(ROWS($A$7:$A66),'Agenda 2026'!$N$2:$N$376,0)),"Ver fuente ↗"),"")</f>
        <v/>
      </c>
      <c r="L66" s="49" t="str">
        <f t="array" ref="L66">IFERROR(INDEX('Agenda 2026'!K$2:K$376,MATCH(ROWS($A$7:$A66),'Agenda 2026'!$N$2:$N$376,0)),"")</f>
        <v/>
      </c>
      <c r="M66" s="50" t="str">
        <f t="array" ref="M66">IFERROR(INDEX('Agenda 2026'!O$2:O$376,MATCH(ROWS($A$7:$A66),'Agenda 2026'!$N$2:$N$376,0)),"")</f>
        <v/>
      </c>
    </row>
    <row r="67" spans="1:13" ht="42" customHeight="1" x14ac:dyDescent="0.35">
      <c r="A67" s="42" t="str">
        <f t="array" ref="A67">IFERROR(INDEX('Agenda 2026'!A$2:A$376,MATCH(ROWS($A$7:$A67),'Agenda 2026'!$N$2:$N$376,0)),"")</f>
        <v/>
      </c>
      <c r="B67" s="43" t="str">
        <f t="array" ref="B67">IFERROR(INDEX('Agenda 2026'!P$2:P$376,MATCH(ROWS($A$7:$A67),'Agenda 2026'!$N$2:$N$376,0)),"")</f>
        <v/>
      </c>
      <c r="C67" s="44" t="str">
        <f t="array" ref="C67">IFERROR(INDEX('Agenda 2026'!B$2:B$376,MATCH(ROWS($A$7:$A67),'Agenda 2026'!$N$2:$N$376,0)),"")</f>
        <v/>
      </c>
      <c r="D67" s="44" t="str">
        <f t="array" ref="D67">IFERROR(INDEX('Agenda 2026'!C$2:C$376,MATCH(ROWS($A$7:$A67),'Agenda 2026'!$N$2:$N$376,0)),"")</f>
        <v/>
      </c>
      <c r="E67" s="44" t="str">
        <f t="array" ref="E67">IFERROR(INDEX('Agenda 2026'!D$2:D$376,MATCH(ROWS($A$7:$A67),'Agenda 2026'!$N$2:$N$376,0)),"")</f>
        <v/>
      </c>
      <c r="F67" s="45" t="str">
        <f t="array" ref="F67">IFERROR(INDEX('Agenda 2026'!E$2:E$376,MATCH(ROWS($A$7:$A67),'Agenda 2026'!$N$2:$N$376,0)),"")</f>
        <v/>
      </c>
      <c r="G67" s="44" t="str">
        <f t="array" ref="G67">IFERROR(INDEX('Agenda 2026'!F$2:F$376,MATCH(ROWS($A$7:$A67),'Agenda 2026'!$N$2:$N$376,0)),"")</f>
        <v/>
      </c>
      <c r="H67" s="44" t="str">
        <f t="array" ref="H67">IFERROR(INDEX('Agenda 2026'!G$2:G$376,MATCH(ROWS($A$7:$A67),'Agenda 2026'!$N$2:$N$376,0)),"")</f>
        <v/>
      </c>
      <c r="I67" s="46" t="str">
        <f t="array" ref="I67">IFERROR(INDEX('Agenda 2026'!H$2:H$376,MATCH(ROWS($A$7:$A67),'Agenda 2026'!$N$2:$N$376,0)),"")</f>
        <v/>
      </c>
      <c r="J67" s="47" t="s">
        <v>50</v>
      </c>
      <c r="K67" s="48" t="str">
        <f t="array" ref="K67">IFERROR(HYPERLINK(INDEX('Agenda 2026'!J$2:J$376,MATCH(ROWS($A$7:$A67),'Agenda 2026'!$N$2:$N$376,0)),"Ver fuente ↗"),"")</f>
        <v/>
      </c>
      <c r="L67" s="49" t="str">
        <f>IFERROR(INDEX('Agenda 2026'!K$2:K$376,MATCH(ROWS($A$7:$A67),'Agenda 2026'!$N$2:$N$376,0)),"")</f>
        <v/>
      </c>
      <c r="M67" s="50" t="str">
        <f t="array" ref="M67">IFERROR(INDEX('Agenda 2026'!O$2:O$376,MATCH(ROWS($A$7:$A67),'Agenda 2026'!$N$2:$N$376,0)),"")</f>
        <v/>
      </c>
    </row>
    <row r="68" spans="1:13" ht="42" customHeight="1" x14ac:dyDescent="0.35">
      <c r="A68" s="42" t="str">
        <f t="array" ref="A68">IFERROR(INDEX('Agenda 2026'!A$2:A$376,MATCH(ROWS($A$7:$A68),'Agenda 2026'!$N$2:$N$376,0)),"")</f>
        <v/>
      </c>
      <c r="B68" s="43" t="str">
        <f t="array" ref="B68">IFERROR(INDEX('Agenda 2026'!P$2:P$376,MATCH(ROWS($A$7:$A68),'Agenda 2026'!$N$2:$N$376,0)),"")</f>
        <v/>
      </c>
      <c r="C68" s="44" t="str">
        <f t="array" ref="C68">IFERROR(INDEX('Agenda 2026'!B$2:B$376,MATCH(ROWS($A$7:$A68),'Agenda 2026'!$N$2:$N$376,0)),"")</f>
        <v/>
      </c>
      <c r="D68" s="44" t="str">
        <f t="array" ref="D68">IFERROR(INDEX('Agenda 2026'!C$2:C$376,MATCH(ROWS($A$7:$A68),'Agenda 2026'!$N$2:$N$376,0)),"")</f>
        <v/>
      </c>
      <c r="E68" s="44" t="str">
        <f t="array" ref="E68">IFERROR(INDEX('Agenda 2026'!D$2:D$376,MATCH(ROWS($A$7:$A68),'Agenda 2026'!$N$2:$N$376,0)),"")</f>
        <v/>
      </c>
      <c r="F68" s="45" t="str">
        <f t="array" ref="F68">IFERROR(INDEX('Agenda 2026'!E$2:E$376,MATCH(ROWS($A$7:$A68),'Agenda 2026'!$N$2:$N$376,0)),"")</f>
        <v/>
      </c>
      <c r="G68" s="44" t="str">
        <f t="array" ref="G68">IFERROR(INDEX('Agenda 2026'!F$2:F$376,MATCH(ROWS($A$7:$A68),'Agenda 2026'!$N$2:$N$376,0)),"")</f>
        <v/>
      </c>
      <c r="H68" s="44" t="str">
        <f t="array" ref="H68">IFERROR(INDEX('Agenda 2026'!G$2:G$376,MATCH(ROWS($A$7:$A68),'Agenda 2026'!$N$2:$N$376,0)),"")</f>
        <v/>
      </c>
      <c r="I68" s="46" t="str">
        <f t="array" ref="I68">IFERROR(INDEX('Agenda 2026'!H$2:H$376,MATCH(ROWS($A$7:$A68),'Agenda 2026'!$N$2:$N$376,0)),"")</f>
        <v/>
      </c>
      <c r="J68" s="47" t="s">
        <v>50</v>
      </c>
      <c r="K68" s="48" t="str">
        <f t="array" ref="K68">IFERROR(HYPERLINK(INDEX('Agenda 2026'!J$2:J$376,MATCH(ROWS($A$7:$A68),'Agenda 2026'!$N$2:$N$376,0)),"Ver fuente ↗"),"")</f>
        <v/>
      </c>
      <c r="L68" s="49" t="str">
        <f>IFERROR(INDEX('Agenda 2026'!K$2:K$376,MATCH(ROWS($A$7:$A68),'Agenda 2026'!$N$2:$N$376,0)),"")</f>
        <v/>
      </c>
      <c r="M68" s="50" t="str">
        <f t="array" ref="M68">IFERROR(INDEX('Agenda 2026'!O$2:O$376,MATCH(ROWS($A$7:$A68),'Agenda 2026'!$N$2:$N$376,0)),"")</f>
        <v/>
      </c>
    </row>
    <row r="69" spans="1:13" ht="42" customHeight="1" x14ac:dyDescent="0.35">
      <c r="A69" s="42" t="str">
        <f t="array" ref="A69">IFERROR(INDEX('Agenda 2026'!A$2:A$376,MATCH(ROWS($A$7:$A69),'Agenda 2026'!$N$2:$N$376,0)),"")</f>
        <v/>
      </c>
      <c r="B69" s="43" t="str">
        <f t="array" ref="B69">IFERROR(INDEX('Agenda 2026'!P$2:P$376,MATCH(ROWS($A$7:$A69),'Agenda 2026'!$N$2:$N$376,0)),"")</f>
        <v/>
      </c>
      <c r="C69" s="44" t="str">
        <f t="array" ref="C69">IFERROR(INDEX('Agenda 2026'!B$2:B$376,MATCH(ROWS($A$7:$A69),'Agenda 2026'!$N$2:$N$376,0)),"")</f>
        <v/>
      </c>
      <c r="D69" s="44" t="str">
        <f t="array" ref="D69">IFERROR(INDEX('Agenda 2026'!C$2:C$376,MATCH(ROWS($A$7:$A69),'Agenda 2026'!$N$2:$N$376,0)),"")</f>
        <v/>
      </c>
      <c r="E69" s="44" t="str">
        <f t="array" ref="E69">IFERROR(INDEX('Agenda 2026'!D$2:D$376,MATCH(ROWS($A$7:$A69),'Agenda 2026'!$N$2:$N$376,0)),"")</f>
        <v/>
      </c>
      <c r="F69" s="45" t="str">
        <f t="array" ref="F69">IFERROR(INDEX('Agenda 2026'!E$2:E$376,MATCH(ROWS($A$7:$A69),'Agenda 2026'!$N$2:$N$376,0)),"")</f>
        <v/>
      </c>
      <c r="G69" s="44" t="str">
        <f t="array" ref="G69">IFERROR(INDEX('Agenda 2026'!F$2:F$376,MATCH(ROWS($A$7:$A69),'Agenda 2026'!$N$2:$N$376,0)),"")</f>
        <v/>
      </c>
      <c r="H69" s="44" t="str">
        <f t="array" ref="H69">IFERROR(INDEX('Agenda 2026'!G$2:G$376,MATCH(ROWS($A$7:$A69),'Agenda 2026'!$N$2:$N$376,0)),"")</f>
        <v/>
      </c>
      <c r="I69" s="46" t="str">
        <f t="array" ref="I69">IFERROR(INDEX('Agenda 2026'!H$2:H$376,MATCH(ROWS($A$7:$A69),'Agenda 2026'!$N$2:$N$376,0)),"")</f>
        <v/>
      </c>
      <c r="J69" s="47" t="s">
        <v>50</v>
      </c>
      <c r="K69" s="48" t="str">
        <f t="array" ref="K69">IFERROR(HYPERLINK(INDEX('Agenda 2026'!J$2:J$376,MATCH(ROWS($A$7:$A69),'Agenda 2026'!$N$2:$N$376,0)),"Ver fuente ↗"),"")</f>
        <v/>
      </c>
      <c r="L69" s="49" t="str">
        <f>IFERROR(INDEX('Agenda 2026'!K$2:K$376,MATCH(ROWS($A$7:$A69),'Agenda 2026'!$N$2:$N$376,0)),"")</f>
        <v/>
      </c>
      <c r="M69" s="50" t="str">
        <f t="array" ref="M69">IFERROR(INDEX('Agenda 2026'!O$2:O$376,MATCH(ROWS($A$7:$A69),'Agenda 2026'!$N$2:$N$376,0)),"")</f>
        <v/>
      </c>
    </row>
    <row r="70" spans="1:13" ht="42" customHeight="1" x14ac:dyDescent="0.35">
      <c r="A70" s="42" t="str">
        <f t="array" ref="A70">IFERROR(INDEX('Agenda 2026'!A$2:A$376,MATCH(ROWS($A$7:$A70),'Agenda 2026'!$N$2:$N$376,0)),"")</f>
        <v/>
      </c>
      <c r="B70" s="43" t="str">
        <f t="array" ref="B70">IFERROR(INDEX('Agenda 2026'!P$2:P$376,MATCH(ROWS($A$7:$A70),'Agenda 2026'!$N$2:$N$376,0)),"")</f>
        <v/>
      </c>
      <c r="C70" s="44" t="str">
        <f t="array" ref="C70">IFERROR(INDEX('Agenda 2026'!B$2:B$376,MATCH(ROWS($A$7:$A70),'Agenda 2026'!$N$2:$N$376,0)),"")</f>
        <v/>
      </c>
      <c r="D70" s="44" t="str">
        <f t="array" ref="D70">IFERROR(INDEX('Agenda 2026'!C$2:C$376,MATCH(ROWS($A$7:$A70),'Agenda 2026'!$N$2:$N$376,0)),"")</f>
        <v/>
      </c>
      <c r="E70" s="44" t="str">
        <f t="array" ref="E70">IFERROR(INDEX('Agenda 2026'!D$2:D$376,MATCH(ROWS($A$7:$A70),'Agenda 2026'!$N$2:$N$376,0)),"")</f>
        <v/>
      </c>
      <c r="F70" s="45" t="str">
        <f t="array" ref="F70">IFERROR(INDEX('Agenda 2026'!E$2:E$376,MATCH(ROWS($A$7:$A70),'Agenda 2026'!$N$2:$N$376,0)),"")</f>
        <v/>
      </c>
      <c r="G70" s="44" t="str">
        <f t="array" ref="G70">IFERROR(INDEX('Agenda 2026'!F$2:F$376,MATCH(ROWS($A$7:$A70),'Agenda 2026'!$N$2:$N$376,0)),"")</f>
        <v/>
      </c>
      <c r="H70" s="44" t="str">
        <f t="array" ref="H70">IFERROR(INDEX('Agenda 2026'!G$2:G$376,MATCH(ROWS($A$7:$A70),'Agenda 2026'!$N$2:$N$376,0)),"")</f>
        <v/>
      </c>
      <c r="I70" s="46" t="str">
        <f t="array" ref="I70">IFERROR(INDEX('Agenda 2026'!H$2:H$376,MATCH(ROWS($A$7:$A70),'Agenda 2026'!$N$2:$N$376,0)),"")</f>
        <v/>
      </c>
      <c r="J70" s="47" t="s">
        <v>50</v>
      </c>
      <c r="K70" s="48" t="str">
        <f t="array" ref="K70">IFERROR(HYPERLINK(INDEX('Agenda 2026'!J$2:J$376,MATCH(ROWS($A$7:$A70),'Agenda 2026'!$N$2:$N$376,0)),"Ver fuente ↗"),"")</f>
        <v/>
      </c>
      <c r="L70" s="49" t="str">
        <f>IFERROR(INDEX('Agenda 2026'!K$2:K$376,MATCH(ROWS($A$7:$A70),'Agenda 2026'!$N$2:$N$376,0)),"")</f>
        <v/>
      </c>
      <c r="M70" s="50" t="str">
        <f t="array" ref="M70">IFERROR(INDEX('Agenda 2026'!O$2:O$376,MATCH(ROWS($A$7:$A70),'Agenda 2026'!$N$2:$N$376,0)),"")</f>
        <v/>
      </c>
    </row>
    <row r="71" spans="1:13" ht="42" customHeight="1" x14ac:dyDescent="0.35">
      <c r="A71" s="42" t="str">
        <f t="array" ref="A71">IFERROR(INDEX('Agenda 2026'!A$2:A$376,MATCH(ROWS($A$7:$A71),'Agenda 2026'!$N$2:$N$376,0)),"")</f>
        <v/>
      </c>
      <c r="B71" s="43" t="str">
        <f t="array" ref="B71">IFERROR(INDEX('Agenda 2026'!P$2:P$376,MATCH(ROWS($A$7:$A71),'Agenda 2026'!$N$2:$N$376,0)),"")</f>
        <v/>
      </c>
      <c r="C71" s="44" t="str">
        <f t="array" ref="C71">IFERROR(INDEX('Agenda 2026'!B$2:B$376,MATCH(ROWS($A$7:$A71),'Agenda 2026'!$N$2:$N$376,0)),"")</f>
        <v/>
      </c>
      <c r="D71" s="44" t="str">
        <f t="array" ref="D71">IFERROR(INDEX('Agenda 2026'!C$2:C$376,MATCH(ROWS($A$7:$A71),'Agenda 2026'!$N$2:$N$376,0)),"")</f>
        <v/>
      </c>
      <c r="E71" s="44" t="str">
        <f t="array" ref="E71">IFERROR(INDEX('Agenda 2026'!D$2:D$376,MATCH(ROWS($A$7:$A71),'Agenda 2026'!$N$2:$N$376,0)),"")</f>
        <v/>
      </c>
      <c r="F71" s="45" t="str">
        <f t="array" ref="F71">IFERROR(INDEX('Agenda 2026'!E$2:E$376,MATCH(ROWS($A$7:$A71),'Agenda 2026'!$N$2:$N$376,0)),"")</f>
        <v/>
      </c>
      <c r="G71" s="44" t="str">
        <f t="array" ref="G71">IFERROR(INDEX('Agenda 2026'!F$2:F$376,MATCH(ROWS($A$7:$A71),'Agenda 2026'!$N$2:$N$376,0)),"")</f>
        <v/>
      </c>
      <c r="H71" s="44" t="str">
        <f t="array" ref="H71">IFERROR(INDEX('Agenda 2026'!G$2:G$376,MATCH(ROWS($A$7:$A71),'Agenda 2026'!$N$2:$N$376,0)),"")</f>
        <v/>
      </c>
      <c r="I71" s="46" t="str">
        <f t="array" ref="I71">IFERROR(INDEX('Agenda 2026'!H$2:H$376,MATCH(ROWS($A$7:$A71),'Agenda 2026'!$N$2:$N$376,0)),"")</f>
        <v/>
      </c>
      <c r="J71" s="47" t="s">
        <v>50</v>
      </c>
      <c r="K71" s="48" t="str">
        <f t="array" ref="K71">IFERROR(HYPERLINK(INDEX('Agenda 2026'!J$2:J$376,MATCH(ROWS($A$7:$A71),'Agenda 2026'!$N$2:$N$376,0)),"Ver fuente ↗"),"")</f>
        <v/>
      </c>
      <c r="L71" s="49" t="str">
        <f>IFERROR(INDEX('Agenda 2026'!K$2:K$376,MATCH(ROWS($A$7:$A71),'Agenda 2026'!$N$2:$N$376,0)),"")</f>
        <v/>
      </c>
      <c r="M71" s="50" t="str">
        <f t="array" ref="M71">IFERROR(INDEX('Agenda 2026'!O$2:O$376,MATCH(ROWS($A$7:$A71),'Agenda 2026'!$N$2:$N$376,0)),"")</f>
        <v/>
      </c>
    </row>
    <row r="72" spans="1:13" ht="42" customHeight="1" x14ac:dyDescent="0.35">
      <c r="A72" s="42" t="str">
        <f t="array" ref="A72">IFERROR(INDEX('Agenda 2026'!A$2:A$376,MATCH(ROWS($A$7:$A72),'Agenda 2026'!$N$2:$N$376,0)),"")</f>
        <v/>
      </c>
      <c r="B72" s="43" t="str">
        <f t="array" ref="B72">IFERROR(INDEX('Agenda 2026'!P$2:P$376,MATCH(ROWS($A$7:$A72),'Agenda 2026'!$N$2:$N$376,0)),"")</f>
        <v/>
      </c>
      <c r="C72" s="44" t="str">
        <f t="array" ref="C72">IFERROR(INDEX('Agenda 2026'!B$2:B$376,MATCH(ROWS($A$7:$A72),'Agenda 2026'!$N$2:$N$376,0)),"")</f>
        <v/>
      </c>
      <c r="D72" s="44" t="str">
        <f t="array" ref="D72">IFERROR(INDEX('Agenda 2026'!C$2:C$376,MATCH(ROWS($A$7:$A72),'Agenda 2026'!$N$2:$N$376,0)),"")</f>
        <v/>
      </c>
      <c r="E72" s="44" t="str">
        <f t="array" ref="E72">IFERROR(INDEX('Agenda 2026'!D$2:D$376,MATCH(ROWS($A$7:$A72),'Agenda 2026'!$N$2:$N$376,0)),"")</f>
        <v/>
      </c>
      <c r="F72" s="45" t="str">
        <f t="array" ref="F72">IFERROR(INDEX('Agenda 2026'!E$2:E$376,MATCH(ROWS($A$7:$A72),'Agenda 2026'!$N$2:$N$376,0)),"")</f>
        <v/>
      </c>
      <c r="G72" s="44" t="str">
        <f t="array" ref="G72">IFERROR(INDEX('Agenda 2026'!F$2:F$376,MATCH(ROWS($A$7:$A72),'Agenda 2026'!$N$2:$N$376,0)),"")</f>
        <v/>
      </c>
      <c r="H72" s="44" t="str">
        <f t="array" ref="H72">IFERROR(INDEX('Agenda 2026'!G$2:G$376,MATCH(ROWS($A$7:$A72),'Agenda 2026'!$N$2:$N$376,0)),"")</f>
        <v/>
      </c>
      <c r="I72" s="46" t="str">
        <f t="array" ref="I72">IFERROR(INDEX('Agenda 2026'!H$2:H$376,MATCH(ROWS($A$7:$A72),'Agenda 2026'!$N$2:$N$376,0)),"")</f>
        <v/>
      </c>
      <c r="J72" s="47" t="s">
        <v>50</v>
      </c>
      <c r="K72" s="48" t="str">
        <f t="array" ref="K72">IFERROR(HYPERLINK(INDEX('Agenda 2026'!J$2:J$376,MATCH(ROWS($A$7:$A72),'Agenda 2026'!$N$2:$N$376,0)),"Ver fuente ↗"),"")</f>
        <v/>
      </c>
      <c r="L72" s="49" t="str">
        <f>IFERROR(INDEX('Agenda 2026'!K$2:K$376,MATCH(ROWS($A$7:$A72),'Agenda 2026'!$N$2:$N$376,0)),"")</f>
        <v/>
      </c>
      <c r="M72" s="50" t="str">
        <f t="array" ref="M72">IFERROR(INDEX('Agenda 2026'!O$2:O$376,MATCH(ROWS($A$7:$A72),'Agenda 2026'!$N$2:$N$376,0)),"")</f>
        <v/>
      </c>
    </row>
    <row r="73" spans="1:13" ht="42" customHeight="1" x14ac:dyDescent="0.35">
      <c r="A73" s="42" t="str">
        <f t="array" ref="A73">IFERROR(INDEX('Agenda 2026'!A$2:A$376,MATCH(ROWS($A$7:$A73),'Agenda 2026'!$N$2:$N$376,0)),"")</f>
        <v/>
      </c>
      <c r="B73" s="43" t="str">
        <f t="array" ref="B73">IFERROR(INDEX('Agenda 2026'!P$2:P$376,MATCH(ROWS($A$7:$A73),'Agenda 2026'!$N$2:$N$376,0)),"")</f>
        <v/>
      </c>
      <c r="C73" s="44" t="str">
        <f t="array" ref="C73">IFERROR(INDEX('Agenda 2026'!B$2:B$376,MATCH(ROWS($A$7:$A73),'Agenda 2026'!$N$2:$N$376,0)),"")</f>
        <v/>
      </c>
      <c r="D73" s="44" t="str">
        <f t="array" ref="D73">IFERROR(INDEX('Agenda 2026'!C$2:C$376,MATCH(ROWS($A$7:$A73),'Agenda 2026'!$N$2:$N$376,0)),"")</f>
        <v/>
      </c>
      <c r="E73" s="44" t="str">
        <f t="array" ref="E73">IFERROR(INDEX('Agenda 2026'!D$2:D$376,MATCH(ROWS($A$7:$A73),'Agenda 2026'!$N$2:$N$376,0)),"")</f>
        <v/>
      </c>
      <c r="F73" s="45" t="str">
        <f t="array" ref="F73">IFERROR(INDEX('Agenda 2026'!E$2:E$376,MATCH(ROWS($A$7:$A73),'Agenda 2026'!$N$2:$N$376,0)),"")</f>
        <v/>
      </c>
      <c r="G73" s="44" t="str">
        <f t="array" ref="G73">IFERROR(INDEX('Agenda 2026'!F$2:F$376,MATCH(ROWS($A$7:$A73),'Agenda 2026'!$N$2:$N$376,0)),"")</f>
        <v/>
      </c>
      <c r="H73" s="44" t="str">
        <f t="array" ref="H73">IFERROR(INDEX('Agenda 2026'!G$2:G$376,MATCH(ROWS($A$7:$A73),'Agenda 2026'!$N$2:$N$376,0)),"")</f>
        <v/>
      </c>
      <c r="I73" s="46" t="str">
        <f t="array" ref="I73">IFERROR(INDEX('Agenda 2026'!H$2:H$376,MATCH(ROWS($A$7:$A73),'Agenda 2026'!$N$2:$N$376,0)),"")</f>
        <v/>
      </c>
      <c r="J73" s="47" t="s">
        <v>50</v>
      </c>
      <c r="K73" s="48" t="str">
        <f t="array" ref="K73">IFERROR(HYPERLINK(INDEX('Agenda 2026'!J$2:J$376,MATCH(ROWS($A$7:$A73),'Agenda 2026'!$N$2:$N$376,0)),"Ver fuente ↗"),"")</f>
        <v/>
      </c>
      <c r="L73" s="49" t="str">
        <f t="array" ref="L73">IFERROR(INDEX('Agenda 2026'!K$2:K$376,MATCH(ROWS($A$7:$A73),'Agenda 2026'!$N$2:$N$376,0)),"")</f>
        <v/>
      </c>
      <c r="M73" s="50" t="str">
        <f t="array" ref="M73">IFERROR(INDEX('Agenda 2026'!O$2:O$376,MATCH(ROWS($A$7:$A73),'Agenda 2026'!$N$2:$N$376,0)),"")</f>
        <v/>
      </c>
    </row>
    <row r="74" spans="1:13" ht="42" customHeight="1" x14ac:dyDescent="0.35">
      <c r="A74" s="42" t="str">
        <f t="array" ref="A74">IFERROR(INDEX('Agenda 2026'!A$2:A$376,MATCH(ROWS($A$7:$A74),'Agenda 2026'!$N$2:$N$376,0)),"")</f>
        <v/>
      </c>
      <c r="B74" s="43" t="str">
        <f t="array" ref="B74">IFERROR(INDEX('Agenda 2026'!P$2:P$376,MATCH(ROWS($A$7:$A74),'Agenda 2026'!$N$2:$N$376,0)),"")</f>
        <v/>
      </c>
      <c r="C74" s="44" t="str">
        <f t="array" ref="C74">IFERROR(INDEX('Agenda 2026'!B$2:B$376,MATCH(ROWS($A$7:$A74),'Agenda 2026'!$N$2:$N$376,0)),"")</f>
        <v/>
      </c>
      <c r="D74" s="44" t="str">
        <f t="array" ref="D74">IFERROR(INDEX('Agenda 2026'!C$2:C$376,MATCH(ROWS($A$7:$A74),'Agenda 2026'!$N$2:$N$376,0)),"")</f>
        <v/>
      </c>
      <c r="E74" s="44" t="str">
        <f t="array" ref="E74">IFERROR(INDEX('Agenda 2026'!D$2:D$376,MATCH(ROWS($A$7:$A74),'Agenda 2026'!$N$2:$N$376,0)),"")</f>
        <v/>
      </c>
      <c r="F74" s="45" t="str">
        <f t="array" ref="F74">IFERROR(INDEX('Agenda 2026'!E$2:E$376,MATCH(ROWS($A$7:$A74),'Agenda 2026'!$N$2:$N$376,0)),"")</f>
        <v/>
      </c>
      <c r="G74" s="44" t="str">
        <f t="array" ref="G74">IFERROR(INDEX('Agenda 2026'!F$2:F$376,MATCH(ROWS($A$7:$A74),'Agenda 2026'!$N$2:$N$376,0)),"")</f>
        <v/>
      </c>
      <c r="H74" s="44" t="str">
        <f t="array" ref="H74">IFERROR(INDEX('Agenda 2026'!G$2:G$376,MATCH(ROWS($A$7:$A74),'Agenda 2026'!$N$2:$N$376,0)),"")</f>
        <v/>
      </c>
      <c r="I74" s="46" t="str">
        <f t="array" ref="I74">IFERROR(INDEX('Agenda 2026'!H$2:H$376,MATCH(ROWS($A$7:$A74),'Agenda 2026'!$N$2:$N$376,0)),"")</f>
        <v/>
      </c>
      <c r="J74" s="47" t="s">
        <v>50</v>
      </c>
      <c r="K74" s="48" t="str">
        <f t="array" ref="K74">IFERROR(HYPERLINK(INDEX('Agenda 2026'!J$2:J$376,MATCH(ROWS($A$7:$A74),'Agenda 2026'!$N$2:$N$376,0)),"Ver fuente ↗"),"")</f>
        <v/>
      </c>
      <c r="L74" s="49" t="str">
        <f t="array" ref="L74">IFERROR(INDEX('Agenda 2026'!K$2:K$376,MATCH(ROWS($A$7:$A74),'Agenda 2026'!$N$2:$N$376,0)),"")</f>
        <v/>
      </c>
      <c r="M74" s="50" t="str">
        <f t="array" ref="M74">IFERROR(INDEX('Agenda 2026'!O$2:O$376,MATCH(ROWS($A$7:$A74),'Agenda 2026'!$N$2:$N$376,0)),"")</f>
        <v/>
      </c>
    </row>
    <row r="75" spans="1:13" ht="42" customHeight="1" x14ac:dyDescent="0.35">
      <c r="A75" s="42" t="str">
        <f t="array" ref="A75">IFERROR(INDEX('Agenda 2026'!A$2:A$376,MATCH(ROWS($A$7:$A75),'Agenda 2026'!$N$2:$N$376,0)),"")</f>
        <v/>
      </c>
      <c r="B75" s="43" t="str">
        <f t="array" ref="B75">IFERROR(INDEX('Agenda 2026'!P$2:P$376,MATCH(ROWS($A$7:$A75),'Agenda 2026'!$N$2:$N$376,0)),"")</f>
        <v/>
      </c>
      <c r="C75" s="44" t="str">
        <f t="array" ref="C75">IFERROR(INDEX('Agenda 2026'!B$2:B$376,MATCH(ROWS($A$7:$A75),'Agenda 2026'!$N$2:$N$376,0)),"")</f>
        <v/>
      </c>
      <c r="D75" s="44" t="str">
        <f t="array" ref="D75">IFERROR(INDEX('Agenda 2026'!C$2:C$376,MATCH(ROWS($A$7:$A75),'Agenda 2026'!$N$2:$N$376,0)),"")</f>
        <v/>
      </c>
      <c r="E75" s="44" t="str">
        <f t="array" ref="E75">IFERROR(INDEX('Agenda 2026'!D$2:D$376,MATCH(ROWS($A$7:$A75),'Agenda 2026'!$N$2:$N$376,0)),"")</f>
        <v/>
      </c>
      <c r="F75" s="45" t="str">
        <f t="array" ref="F75">IFERROR(INDEX('Agenda 2026'!E$2:E$376,MATCH(ROWS($A$7:$A75),'Agenda 2026'!$N$2:$N$376,0)),"")</f>
        <v/>
      </c>
      <c r="G75" s="44" t="str">
        <f t="array" ref="G75">IFERROR(INDEX('Agenda 2026'!F$2:F$376,MATCH(ROWS($A$7:$A75),'Agenda 2026'!$N$2:$N$376,0)),"")</f>
        <v/>
      </c>
      <c r="H75" s="44" t="str">
        <f t="array" ref="H75">IFERROR(INDEX('Agenda 2026'!G$2:G$376,MATCH(ROWS($A$7:$A75),'Agenda 2026'!$N$2:$N$376,0)),"")</f>
        <v/>
      </c>
      <c r="I75" s="46" t="str">
        <f t="array" ref="I75">IFERROR(INDEX('Agenda 2026'!H$2:H$376,MATCH(ROWS($A$7:$A75),'Agenda 2026'!$N$2:$N$376,0)),"")</f>
        <v/>
      </c>
      <c r="J75" s="47" t="s">
        <v>50</v>
      </c>
      <c r="K75" s="48" t="str">
        <f t="array" ref="K75">IFERROR(HYPERLINK(INDEX('Agenda 2026'!J$2:J$376,MATCH(ROWS($A$7:$A75),'Agenda 2026'!$N$2:$N$376,0)),"Ver fuente ↗"),"")</f>
        <v/>
      </c>
      <c r="L75" s="49" t="str">
        <f>IFERROR(INDEX('Agenda 2026'!K$2:K$376,MATCH(ROWS($A$7:$A75),'Agenda 2026'!$N$2:$N$376,0)),"")</f>
        <v/>
      </c>
      <c r="M75" s="50" t="str">
        <f t="array" ref="M75">IFERROR(INDEX('Agenda 2026'!O$2:O$376,MATCH(ROWS($A$7:$A75),'Agenda 2026'!$N$2:$N$376,0)),"")</f>
        <v/>
      </c>
    </row>
    <row r="76" spans="1:13" ht="42" customHeight="1" x14ac:dyDescent="0.35">
      <c r="A76" s="42" t="str">
        <f t="array" ref="A76">IFERROR(INDEX('Agenda 2026'!A$2:A$376,MATCH(ROWS($A$7:$A76),'Agenda 2026'!$N$2:$N$376,0)),"")</f>
        <v/>
      </c>
      <c r="B76" s="43" t="str">
        <f t="array" ref="B76">IFERROR(INDEX('Agenda 2026'!P$2:P$376,MATCH(ROWS($A$7:$A76),'Agenda 2026'!$N$2:$N$376,0)),"")</f>
        <v/>
      </c>
      <c r="C76" s="44" t="str">
        <f t="array" ref="C76">IFERROR(INDEX('Agenda 2026'!B$2:B$376,MATCH(ROWS($A$7:$A76),'Agenda 2026'!$N$2:$N$376,0)),"")</f>
        <v/>
      </c>
      <c r="D76" s="44" t="str">
        <f t="array" ref="D76">IFERROR(INDEX('Agenda 2026'!C$2:C$376,MATCH(ROWS($A$7:$A76),'Agenda 2026'!$N$2:$N$376,0)),"")</f>
        <v/>
      </c>
      <c r="E76" s="44" t="str">
        <f t="array" ref="E76">IFERROR(INDEX('Agenda 2026'!D$2:D$376,MATCH(ROWS($A$7:$A76),'Agenda 2026'!$N$2:$N$376,0)),"")</f>
        <v/>
      </c>
      <c r="F76" s="45" t="str">
        <f t="array" ref="F76">IFERROR(INDEX('Agenda 2026'!E$2:E$376,MATCH(ROWS($A$7:$A76),'Agenda 2026'!$N$2:$N$376,0)),"")</f>
        <v/>
      </c>
      <c r="G76" s="44" t="str">
        <f t="array" ref="G76">IFERROR(INDEX('Agenda 2026'!F$2:F$376,MATCH(ROWS($A$7:$A76),'Agenda 2026'!$N$2:$N$376,0)),"")</f>
        <v/>
      </c>
      <c r="H76" s="44" t="str">
        <f t="array" ref="H76">IFERROR(INDEX('Agenda 2026'!G$2:G$376,MATCH(ROWS($A$7:$A76),'Agenda 2026'!$N$2:$N$376,0)),"")</f>
        <v/>
      </c>
      <c r="I76" s="46" t="str">
        <f t="array" ref="I76">IFERROR(INDEX('Agenda 2026'!H$2:H$376,MATCH(ROWS($A$7:$A76),'Agenda 2026'!$N$2:$N$376,0)),"")</f>
        <v/>
      </c>
      <c r="J76" s="47" t="s">
        <v>50</v>
      </c>
      <c r="K76" s="48" t="str">
        <f t="array" ref="K76">IFERROR(HYPERLINK(INDEX('Agenda 2026'!J$2:J$376,MATCH(ROWS($A$7:$A76),'Agenda 2026'!$N$2:$N$376,0)),"Ver fuente ↗"),"")</f>
        <v/>
      </c>
      <c r="L76" s="49" t="str">
        <f>IFERROR(INDEX('Agenda 2026'!K$2:K$376,MATCH(ROWS($A$7:$A76),'Agenda 2026'!$N$2:$N$376,0)),"")</f>
        <v/>
      </c>
      <c r="M76" s="50" t="str">
        <f t="array" ref="M76">IFERROR(INDEX('Agenda 2026'!O$2:O$376,MATCH(ROWS($A$7:$A76),'Agenda 2026'!$N$2:$N$376,0)),"")</f>
        <v/>
      </c>
    </row>
    <row r="77" spans="1:13" ht="42" customHeight="1" x14ac:dyDescent="0.35">
      <c r="A77" s="42" t="str">
        <f t="array" ref="A77">IFERROR(INDEX('Agenda 2026'!A$2:A$376,MATCH(ROWS($A$7:$A77),'Agenda 2026'!$N$2:$N$376,0)),"")</f>
        <v/>
      </c>
      <c r="B77" s="43" t="str">
        <f t="array" ref="B77">IFERROR(INDEX('Agenda 2026'!P$2:P$376,MATCH(ROWS($A$7:$A77),'Agenda 2026'!$N$2:$N$376,0)),"")</f>
        <v/>
      </c>
      <c r="C77" s="44" t="str">
        <f t="array" ref="C77">IFERROR(INDEX('Agenda 2026'!B$2:B$376,MATCH(ROWS($A$7:$A77),'Agenda 2026'!$N$2:$N$376,0)),"")</f>
        <v/>
      </c>
      <c r="D77" s="44" t="str">
        <f t="array" ref="D77">IFERROR(INDEX('Agenda 2026'!C$2:C$376,MATCH(ROWS($A$7:$A77),'Agenda 2026'!$N$2:$N$376,0)),"")</f>
        <v/>
      </c>
      <c r="E77" s="44" t="str">
        <f t="array" ref="E77">IFERROR(INDEX('Agenda 2026'!D$2:D$376,MATCH(ROWS($A$7:$A77),'Agenda 2026'!$N$2:$N$376,0)),"")</f>
        <v/>
      </c>
      <c r="F77" s="45" t="str">
        <f t="array" ref="F77">IFERROR(INDEX('Agenda 2026'!E$2:E$376,MATCH(ROWS($A$7:$A77),'Agenda 2026'!$N$2:$N$376,0)),"")</f>
        <v/>
      </c>
      <c r="G77" s="44" t="str">
        <f t="array" ref="G77">IFERROR(INDEX('Agenda 2026'!F$2:F$376,MATCH(ROWS($A$7:$A77),'Agenda 2026'!$N$2:$N$376,0)),"")</f>
        <v/>
      </c>
      <c r="H77" s="44" t="str">
        <f t="array" ref="H77">IFERROR(INDEX('Agenda 2026'!G$2:G$376,MATCH(ROWS($A$7:$A77),'Agenda 2026'!$N$2:$N$376,0)),"")</f>
        <v/>
      </c>
      <c r="I77" s="46" t="str">
        <f t="array" ref="I77">IFERROR(INDEX('Agenda 2026'!H$2:H$376,MATCH(ROWS($A$7:$A77),'Agenda 2026'!$N$2:$N$376,0)),"")</f>
        <v/>
      </c>
      <c r="J77" s="47" t="s">
        <v>50</v>
      </c>
      <c r="K77" s="48" t="str">
        <f t="array" ref="K77">IFERROR(HYPERLINK(INDEX('Agenda 2026'!J$2:J$376,MATCH(ROWS($A$7:$A77),'Agenda 2026'!$N$2:$N$376,0)),"Ver fuente ↗"),"")</f>
        <v/>
      </c>
      <c r="L77" s="49" t="str">
        <f t="array" ref="L77">IFERROR(INDEX('Agenda 2026'!K$2:K$376,MATCH(ROWS($A$7:$A77),'Agenda 2026'!$N$2:$N$376,0)),"")</f>
        <v/>
      </c>
      <c r="M77" s="50" t="str">
        <f t="array" ref="M77">IFERROR(INDEX('Agenda 2026'!O$2:O$376,MATCH(ROWS($A$7:$A77),'Agenda 2026'!$N$2:$N$376,0)),"")</f>
        <v/>
      </c>
    </row>
    <row r="78" spans="1:13" ht="42" customHeight="1" x14ac:dyDescent="0.35">
      <c r="A78" s="42" t="str">
        <f t="array" ref="A78">IFERROR(INDEX('Agenda 2026'!A$2:A$376,MATCH(ROWS($A$7:$A78),'Agenda 2026'!$N$2:$N$376,0)),"")</f>
        <v/>
      </c>
      <c r="B78" s="43" t="str">
        <f t="array" ref="B78">IFERROR(INDEX('Agenda 2026'!P$2:P$376,MATCH(ROWS($A$7:$A78),'Agenda 2026'!$N$2:$N$376,0)),"")</f>
        <v/>
      </c>
      <c r="C78" s="44" t="str">
        <f t="array" ref="C78">IFERROR(INDEX('Agenda 2026'!B$2:B$376,MATCH(ROWS($A$7:$A78),'Agenda 2026'!$N$2:$N$376,0)),"")</f>
        <v/>
      </c>
      <c r="D78" s="44" t="str">
        <f t="array" ref="D78">IFERROR(INDEX('Agenda 2026'!C$2:C$376,MATCH(ROWS($A$7:$A78),'Agenda 2026'!$N$2:$N$376,0)),"")</f>
        <v/>
      </c>
      <c r="E78" s="44" t="str">
        <f t="array" ref="E78">IFERROR(INDEX('Agenda 2026'!D$2:D$376,MATCH(ROWS($A$7:$A78),'Agenda 2026'!$N$2:$N$376,0)),"")</f>
        <v/>
      </c>
      <c r="F78" s="45" t="str">
        <f t="array" ref="F78">IFERROR(INDEX('Agenda 2026'!E$2:E$376,MATCH(ROWS($A$7:$A78),'Agenda 2026'!$N$2:$N$376,0)),"")</f>
        <v/>
      </c>
      <c r="G78" s="44" t="str">
        <f t="array" ref="G78">IFERROR(INDEX('Agenda 2026'!F$2:F$376,MATCH(ROWS($A$7:$A78),'Agenda 2026'!$N$2:$N$376,0)),"")</f>
        <v/>
      </c>
      <c r="H78" s="44" t="str">
        <f t="array" ref="H78">IFERROR(INDEX('Agenda 2026'!G$2:G$376,MATCH(ROWS($A$7:$A78),'Agenda 2026'!$N$2:$N$376,0)),"")</f>
        <v/>
      </c>
      <c r="I78" s="46" t="str">
        <f t="array" ref="I78">IFERROR(INDEX('Agenda 2026'!H$2:H$376,MATCH(ROWS($A$7:$A78),'Agenda 2026'!$N$2:$N$376,0)),"")</f>
        <v/>
      </c>
      <c r="J78" s="47" t="s">
        <v>50</v>
      </c>
      <c r="K78" s="48" t="str">
        <f t="array" ref="K78">IFERROR(HYPERLINK(INDEX('Agenda 2026'!J$2:J$376,MATCH(ROWS($A$7:$A78),'Agenda 2026'!$N$2:$N$376,0)),"Ver fuente ↗"),"")</f>
        <v/>
      </c>
      <c r="L78" s="49" t="str">
        <f t="array" ref="L78">IFERROR(INDEX('Agenda 2026'!K$2:K$376,MATCH(ROWS($A$7:$A78),'Agenda 2026'!$N$2:$N$376,0)),"")</f>
        <v/>
      </c>
      <c r="M78" s="50" t="str">
        <f t="array" ref="M78">IFERROR(INDEX('Agenda 2026'!O$2:O$376,MATCH(ROWS($A$7:$A78),'Agenda 2026'!$N$2:$N$376,0)),"")</f>
        <v/>
      </c>
    </row>
    <row r="79" spans="1:13" ht="42" customHeight="1" x14ac:dyDescent="0.35">
      <c r="A79" s="42" t="str">
        <f t="array" ref="A79">IFERROR(INDEX('Agenda 2026'!A$2:A$376,MATCH(ROWS($A$7:$A79),'Agenda 2026'!$N$2:$N$376,0)),"")</f>
        <v/>
      </c>
      <c r="B79" s="43" t="str">
        <f t="array" ref="B79">IFERROR(INDEX('Agenda 2026'!P$2:P$376,MATCH(ROWS($A$7:$A79),'Agenda 2026'!$N$2:$N$376,0)),"")</f>
        <v/>
      </c>
      <c r="C79" s="44" t="str">
        <f t="array" ref="C79">IFERROR(INDEX('Agenda 2026'!B$2:B$376,MATCH(ROWS($A$7:$A79),'Agenda 2026'!$N$2:$N$376,0)),"")</f>
        <v/>
      </c>
      <c r="D79" s="44" t="str">
        <f t="array" ref="D79">IFERROR(INDEX('Agenda 2026'!C$2:C$376,MATCH(ROWS($A$7:$A79),'Agenda 2026'!$N$2:$N$376,0)),"")</f>
        <v/>
      </c>
      <c r="E79" s="44" t="str">
        <f t="array" ref="E79">IFERROR(INDEX('Agenda 2026'!D$2:D$376,MATCH(ROWS($A$7:$A79),'Agenda 2026'!$N$2:$N$376,0)),"")</f>
        <v/>
      </c>
      <c r="F79" s="45" t="str">
        <f t="array" ref="F79">IFERROR(INDEX('Agenda 2026'!E$2:E$376,MATCH(ROWS($A$7:$A79),'Agenda 2026'!$N$2:$N$376,0)),"")</f>
        <v/>
      </c>
      <c r="G79" s="44" t="str">
        <f t="array" ref="G79">IFERROR(INDEX('Agenda 2026'!F$2:F$376,MATCH(ROWS($A$7:$A79),'Agenda 2026'!$N$2:$N$376,0)),"")</f>
        <v/>
      </c>
      <c r="H79" s="44" t="str">
        <f t="array" ref="H79">IFERROR(INDEX('Agenda 2026'!G$2:G$376,MATCH(ROWS($A$7:$A79),'Agenda 2026'!$N$2:$N$376,0)),"")</f>
        <v/>
      </c>
      <c r="I79" s="46" t="str">
        <f t="array" ref="I79">IFERROR(INDEX('Agenda 2026'!H$2:H$376,MATCH(ROWS($A$7:$A79),'Agenda 2026'!$N$2:$N$376,0)),"")</f>
        <v/>
      </c>
      <c r="J79" s="47" t="s">
        <v>50</v>
      </c>
      <c r="K79" s="48" t="str">
        <f t="array" ref="K79">IFERROR(HYPERLINK(INDEX('Agenda 2026'!J$2:J$376,MATCH(ROWS($A$7:$A79),'Agenda 2026'!$N$2:$N$376,0)),"Ver fuente ↗"),"")</f>
        <v/>
      </c>
      <c r="L79" s="49" t="str">
        <f t="array" ref="L79">IFERROR(INDEX('Agenda 2026'!K$2:K$376,MATCH(ROWS($A$7:$A79),'Agenda 2026'!$N$2:$N$376,0)),"")</f>
        <v/>
      </c>
      <c r="M79" s="50" t="str">
        <f t="array" ref="M79">IFERROR(INDEX('Agenda 2026'!O$2:O$376,MATCH(ROWS($A$7:$A79),'Agenda 2026'!$N$2:$N$376,0)),"")</f>
        <v/>
      </c>
    </row>
    <row r="80" spans="1:13" ht="42" customHeight="1" x14ac:dyDescent="0.35">
      <c r="A80" s="42" t="str">
        <f t="array" ref="A80">IFERROR(INDEX('Agenda 2026'!A$2:A$376,MATCH(ROWS($A$7:$A80),'Agenda 2026'!$N$2:$N$376,0)),"")</f>
        <v/>
      </c>
      <c r="B80" s="43" t="str">
        <f t="array" ref="B80">IFERROR(INDEX('Agenda 2026'!P$2:P$376,MATCH(ROWS($A$7:$A80),'Agenda 2026'!$N$2:$N$376,0)),"")</f>
        <v/>
      </c>
      <c r="C80" s="44" t="str">
        <f t="array" ref="C80">IFERROR(INDEX('Agenda 2026'!B$2:B$376,MATCH(ROWS($A$7:$A80),'Agenda 2026'!$N$2:$N$376,0)),"")</f>
        <v/>
      </c>
      <c r="D80" s="44" t="str">
        <f t="array" ref="D80">IFERROR(INDEX('Agenda 2026'!C$2:C$376,MATCH(ROWS($A$7:$A80),'Agenda 2026'!$N$2:$N$376,0)),"")</f>
        <v/>
      </c>
      <c r="E80" s="44" t="str">
        <f t="array" ref="E80">IFERROR(INDEX('Agenda 2026'!D$2:D$376,MATCH(ROWS($A$7:$A80),'Agenda 2026'!$N$2:$N$376,0)),"")</f>
        <v/>
      </c>
      <c r="F80" s="45" t="str">
        <f t="array" ref="F80">IFERROR(INDEX('Agenda 2026'!E$2:E$376,MATCH(ROWS($A$7:$A80),'Agenda 2026'!$N$2:$N$376,0)),"")</f>
        <v/>
      </c>
      <c r="G80" s="44" t="str">
        <f t="array" ref="G80">IFERROR(INDEX('Agenda 2026'!F$2:F$376,MATCH(ROWS($A$7:$A80),'Agenda 2026'!$N$2:$N$376,0)),"")</f>
        <v/>
      </c>
      <c r="H80" s="44" t="str">
        <f t="array" ref="H80">IFERROR(INDEX('Agenda 2026'!G$2:G$376,MATCH(ROWS($A$7:$A80),'Agenda 2026'!$N$2:$N$376,0)),"")</f>
        <v/>
      </c>
      <c r="I80" s="46" t="str">
        <f t="array" ref="I80">IFERROR(INDEX('Agenda 2026'!H$2:H$376,MATCH(ROWS($A$7:$A80),'Agenda 2026'!$N$2:$N$376,0)),"")</f>
        <v/>
      </c>
      <c r="J80" s="47" t="s">
        <v>50</v>
      </c>
      <c r="K80" s="48" t="str">
        <f t="array" ref="K80">IFERROR(HYPERLINK(INDEX('Agenda 2026'!J$2:J$376,MATCH(ROWS($A$7:$A80),'Agenda 2026'!$N$2:$N$376,0)),"Ver fuente ↗"),"")</f>
        <v/>
      </c>
      <c r="L80" s="49" t="str">
        <f>IFERROR(INDEX('Agenda 2026'!K$2:K$376,MATCH(ROWS($A$7:$A80),'Agenda 2026'!$N$2:$N$376,0)),"")</f>
        <v/>
      </c>
      <c r="M80" s="50" t="str">
        <f t="array" ref="M80">IFERROR(INDEX('Agenda 2026'!O$2:O$376,MATCH(ROWS($A$7:$A80),'Agenda 2026'!$N$2:$N$376,0)),"")</f>
        <v/>
      </c>
    </row>
    <row r="81" spans="1:13" ht="42" customHeight="1" x14ac:dyDescent="0.35">
      <c r="A81" s="42" t="str">
        <f t="array" ref="A81">IFERROR(INDEX('Agenda 2026'!A$2:A$376,MATCH(ROWS($A$7:$A81),'Agenda 2026'!$N$2:$N$376,0)),"")</f>
        <v/>
      </c>
      <c r="B81" s="43" t="str">
        <f t="array" ref="B81">IFERROR(INDEX('Agenda 2026'!P$2:P$376,MATCH(ROWS($A$7:$A81),'Agenda 2026'!$N$2:$N$376,0)),"")</f>
        <v/>
      </c>
      <c r="C81" s="44" t="str">
        <f t="array" ref="C81">IFERROR(INDEX('Agenda 2026'!B$2:B$376,MATCH(ROWS($A$7:$A81),'Agenda 2026'!$N$2:$N$376,0)),"")</f>
        <v/>
      </c>
      <c r="D81" s="44" t="str">
        <f t="array" ref="D81">IFERROR(INDEX('Agenda 2026'!C$2:C$376,MATCH(ROWS($A$7:$A81),'Agenda 2026'!$N$2:$N$376,0)),"")</f>
        <v/>
      </c>
      <c r="E81" s="44" t="str">
        <f t="array" ref="E81">IFERROR(INDEX('Agenda 2026'!D$2:D$376,MATCH(ROWS($A$7:$A81),'Agenda 2026'!$N$2:$N$376,0)),"")</f>
        <v/>
      </c>
      <c r="F81" s="45" t="str">
        <f t="array" ref="F81">IFERROR(INDEX('Agenda 2026'!E$2:E$376,MATCH(ROWS($A$7:$A81),'Agenda 2026'!$N$2:$N$376,0)),"")</f>
        <v/>
      </c>
      <c r="G81" s="44" t="str">
        <f t="array" ref="G81">IFERROR(INDEX('Agenda 2026'!F$2:F$376,MATCH(ROWS($A$7:$A81),'Agenda 2026'!$N$2:$N$376,0)),"")</f>
        <v/>
      </c>
      <c r="H81" s="44" t="str">
        <f t="array" ref="H81">IFERROR(INDEX('Agenda 2026'!G$2:G$376,MATCH(ROWS($A$7:$A81),'Agenda 2026'!$N$2:$N$376,0)),"")</f>
        <v/>
      </c>
      <c r="I81" s="46" t="str">
        <f t="array" ref="I81">IFERROR(INDEX('Agenda 2026'!H$2:H$376,MATCH(ROWS($A$7:$A81),'Agenda 2026'!$N$2:$N$376,0)),"")</f>
        <v/>
      </c>
      <c r="J81" s="47" t="s">
        <v>50</v>
      </c>
      <c r="K81" s="48" t="str">
        <f t="array" ref="K81">IFERROR(HYPERLINK(INDEX('Agenda 2026'!J$2:J$376,MATCH(ROWS($A$7:$A81),'Agenda 2026'!$N$2:$N$376,0)),"Ver fuente ↗"),"")</f>
        <v/>
      </c>
      <c r="L81" s="49" t="str">
        <f>IFERROR(INDEX('Agenda 2026'!K$2:K$376,MATCH(ROWS($A$7:$A81),'Agenda 2026'!$N$2:$N$376,0)),"")</f>
        <v/>
      </c>
      <c r="M81" s="50" t="str">
        <f t="array" ref="M81">IFERROR(INDEX('Agenda 2026'!O$2:O$376,MATCH(ROWS($A$7:$A81),'Agenda 2026'!$N$2:$N$376,0)),"")</f>
        <v/>
      </c>
    </row>
    <row r="82" spans="1:13" ht="42" customHeight="1" x14ac:dyDescent="0.35">
      <c r="A82" s="42" t="str">
        <f t="array" ref="A82">IFERROR(INDEX('Agenda 2026'!A$2:A$376,MATCH(ROWS($A$7:$A82),'Agenda 2026'!$N$2:$N$376,0)),"")</f>
        <v/>
      </c>
      <c r="B82" s="43" t="str">
        <f t="array" ref="B82">IFERROR(INDEX('Agenda 2026'!P$2:P$376,MATCH(ROWS($A$7:$A82),'Agenda 2026'!$N$2:$N$376,0)),"")</f>
        <v/>
      </c>
      <c r="C82" s="44" t="str">
        <f t="array" ref="C82">IFERROR(INDEX('Agenda 2026'!B$2:B$376,MATCH(ROWS($A$7:$A82),'Agenda 2026'!$N$2:$N$376,0)),"")</f>
        <v/>
      </c>
      <c r="D82" s="44" t="str">
        <f t="array" ref="D82">IFERROR(INDEX('Agenda 2026'!C$2:C$376,MATCH(ROWS($A$7:$A82),'Agenda 2026'!$N$2:$N$376,0)),"")</f>
        <v/>
      </c>
      <c r="E82" s="44" t="str">
        <f t="array" ref="E82">IFERROR(INDEX('Agenda 2026'!D$2:D$376,MATCH(ROWS($A$7:$A82),'Agenda 2026'!$N$2:$N$376,0)),"")</f>
        <v/>
      </c>
      <c r="F82" s="45" t="str">
        <f t="array" ref="F82">IFERROR(INDEX('Agenda 2026'!E$2:E$376,MATCH(ROWS($A$7:$A82),'Agenda 2026'!$N$2:$N$376,0)),"")</f>
        <v/>
      </c>
      <c r="G82" s="44" t="str">
        <f t="array" ref="G82">IFERROR(INDEX('Agenda 2026'!F$2:F$376,MATCH(ROWS($A$7:$A82),'Agenda 2026'!$N$2:$N$376,0)),"")</f>
        <v/>
      </c>
      <c r="H82" s="44" t="str">
        <f t="array" ref="H82">IFERROR(INDEX('Agenda 2026'!G$2:G$376,MATCH(ROWS($A$7:$A82),'Agenda 2026'!$N$2:$N$376,0)),"")</f>
        <v/>
      </c>
      <c r="I82" s="46" t="str">
        <f t="array" ref="I82">IFERROR(INDEX('Agenda 2026'!H$2:H$376,MATCH(ROWS($A$7:$A82),'Agenda 2026'!$N$2:$N$376,0)),"")</f>
        <v/>
      </c>
      <c r="J82" s="47" t="s">
        <v>50</v>
      </c>
      <c r="K82" s="48" t="str">
        <f t="array" ref="K82">IFERROR(HYPERLINK(INDEX('Agenda 2026'!J$2:J$376,MATCH(ROWS($A$7:$A82),'Agenda 2026'!$N$2:$N$376,0)),"Ver fuente ↗"),"")</f>
        <v/>
      </c>
      <c r="L82" s="49" t="str">
        <f>IFERROR(INDEX('Agenda 2026'!K$2:K$376,MATCH(ROWS($A$7:$A82),'Agenda 2026'!$N$2:$N$376,0)),"")</f>
        <v/>
      </c>
      <c r="M82" s="50" t="str">
        <f t="array" ref="M82">IFERROR(INDEX('Agenda 2026'!O$2:O$376,MATCH(ROWS($A$7:$A82),'Agenda 2026'!$N$2:$N$376,0)),"")</f>
        <v/>
      </c>
    </row>
    <row r="83" spans="1:13" ht="42" customHeight="1" x14ac:dyDescent="0.35">
      <c r="A83" s="42" t="str">
        <f t="array" ref="A83">IFERROR(INDEX('Agenda 2026'!A$2:A$376,MATCH(ROWS($A$7:$A83),'Agenda 2026'!$N$2:$N$376,0)),"")</f>
        <v/>
      </c>
      <c r="B83" s="43" t="str">
        <f t="array" ref="B83">IFERROR(INDEX('Agenda 2026'!P$2:P$376,MATCH(ROWS($A$7:$A83),'Agenda 2026'!$N$2:$N$376,0)),"")</f>
        <v/>
      </c>
      <c r="C83" s="44" t="str">
        <f t="array" ref="C83">IFERROR(INDEX('Agenda 2026'!B$2:B$376,MATCH(ROWS($A$7:$A83),'Agenda 2026'!$N$2:$N$376,0)),"")</f>
        <v/>
      </c>
      <c r="D83" s="44" t="str">
        <f t="array" ref="D83">IFERROR(INDEX('Agenda 2026'!C$2:C$376,MATCH(ROWS($A$7:$A83),'Agenda 2026'!$N$2:$N$376,0)),"")</f>
        <v/>
      </c>
      <c r="E83" s="44" t="str">
        <f t="array" ref="E83">IFERROR(INDEX('Agenda 2026'!D$2:D$376,MATCH(ROWS($A$7:$A83),'Agenda 2026'!$N$2:$N$376,0)),"")</f>
        <v/>
      </c>
      <c r="F83" s="45" t="str">
        <f t="array" ref="F83">IFERROR(INDEX('Agenda 2026'!E$2:E$376,MATCH(ROWS($A$7:$A83),'Agenda 2026'!$N$2:$N$376,0)),"")</f>
        <v/>
      </c>
      <c r="G83" s="44" t="str">
        <f t="array" ref="G83">IFERROR(INDEX('Agenda 2026'!F$2:F$376,MATCH(ROWS($A$7:$A83),'Agenda 2026'!$N$2:$N$376,0)),"")</f>
        <v/>
      </c>
      <c r="H83" s="44" t="str">
        <f t="array" ref="H83">IFERROR(INDEX('Agenda 2026'!G$2:G$376,MATCH(ROWS($A$7:$A83),'Agenda 2026'!$N$2:$N$376,0)),"")</f>
        <v/>
      </c>
      <c r="I83" s="46" t="str">
        <f t="array" ref="I83">IFERROR(INDEX('Agenda 2026'!H$2:H$376,MATCH(ROWS($A$7:$A83),'Agenda 2026'!$N$2:$N$376,0)),"")</f>
        <v/>
      </c>
      <c r="J83" s="47" t="s">
        <v>50</v>
      </c>
      <c r="K83" s="48" t="str">
        <f t="array" ref="K83">IFERROR(HYPERLINK(INDEX('Agenda 2026'!J$2:J$376,MATCH(ROWS($A$7:$A83),'Agenda 2026'!$N$2:$N$376,0)),"Ver fuente ↗"),"")</f>
        <v/>
      </c>
      <c r="L83" s="49" t="str">
        <f>IFERROR(INDEX('Agenda 2026'!K$2:K$376,MATCH(ROWS($A$7:$A83),'Agenda 2026'!$N$2:$N$376,0)),"")</f>
        <v/>
      </c>
      <c r="M83" s="50" t="str">
        <f t="array" ref="M83">IFERROR(INDEX('Agenda 2026'!O$2:O$376,MATCH(ROWS($A$7:$A83),'Agenda 2026'!$N$2:$N$376,0)),"")</f>
        <v/>
      </c>
    </row>
    <row r="84" spans="1:13" ht="42" customHeight="1" x14ac:dyDescent="0.35">
      <c r="A84" s="42" t="str">
        <f t="array" ref="A84">IFERROR(INDEX('Agenda 2026'!A$2:A$376,MATCH(ROWS($A$7:$A84),'Agenda 2026'!$N$2:$N$376,0)),"")</f>
        <v/>
      </c>
      <c r="B84" s="43" t="str">
        <f t="array" ref="B84">IFERROR(INDEX('Agenda 2026'!P$2:P$376,MATCH(ROWS($A$7:$A84),'Agenda 2026'!$N$2:$N$376,0)),"")</f>
        <v/>
      </c>
      <c r="C84" s="44" t="str">
        <f t="array" ref="C84">IFERROR(INDEX('Agenda 2026'!B$2:B$376,MATCH(ROWS($A$7:$A84),'Agenda 2026'!$N$2:$N$376,0)),"")</f>
        <v/>
      </c>
      <c r="D84" s="44" t="str">
        <f t="array" ref="D84">IFERROR(INDEX('Agenda 2026'!C$2:C$376,MATCH(ROWS($A$7:$A84),'Agenda 2026'!$N$2:$N$376,0)),"")</f>
        <v/>
      </c>
      <c r="E84" s="44" t="str">
        <f t="array" ref="E84">IFERROR(INDEX('Agenda 2026'!D$2:D$376,MATCH(ROWS($A$7:$A84),'Agenda 2026'!$N$2:$N$376,0)),"")</f>
        <v/>
      </c>
      <c r="F84" s="45" t="str">
        <f t="array" ref="F84">IFERROR(INDEX('Agenda 2026'!E$2:E$376,MATCH(ROWS($A$7:$A84),'Agenda 2026'!$N$2:$N$376,0)),"")</f>
        <v/>
      </c>
      <c r="G84" s="44" t="str">
        <f t="array" ref="G84">IFERROR(INDEX('Agenda 2026'!F$2:F$376,MATCH(ROWS($A$7:$A84),'Agenda 2026'!$N$2:$N$376,0)),"")</f>
        <v/>
      </c>
      <c r="H84" s="44" t="str">
        <f t="array" ref="H84">IFERROR(INDEX('Agenda 2026'!G$2:G$376,MATCH(ROWS($A$7:$A84),'Agenda 2026'!$N$2:$N$376,0)),"")</f>
        <v/>
      </c>
      <c r="I84" s="46" t="str">
        <f t="array" ref="I84">IFERROR(INDEX('Agenda 2026'!H$2:H$376,MATCH(ROWS($A$7:$A84),'Agenda 2026'!$N$2:$N$376,0)),"")</f>
        <v/>
      </c>
      <c r="J84" s="47" t="s">
        <v>50</v>
      </c>
      <c r="K84" s="48" t="str">
        <f t="array" ref="K84">IFERROR(HYPERLINK(INDEX('Agenda 2026'!J$2:J$376,MATCH(ROWS($A$7:$A84),'Agenda 2026'!$N$2:$N$376,0)),"Ver fuente ↗"),"")</f>
        <v/>
      </c>
      <c r="L84" s="49" t="str">
        <f>IFERROR(INDEX('Agenda 2026'!K$2:K$376,MATCH(ROWS($A$7:$A84),'Agenda 2026'!$N$2:$N$376,0)),"")</f>
        <v/>
      </c>
      <c r="M84" s="50" t="str">
        <f t="array" ref="M84">IFERROR(INDEX('Agenda 2026'!O$2:O$376,MATCH(ROWS($A$7:$A84),'Agenda 2026'!$N$2:$N$376,0)),"")</f>
        <v/>
      </c>
    </row>
    <row r="85" spans="1:13" ht="42" customHeight="1" x14ac:dyDescent="0.35">
      <c r="A85" s="42" t="str">
        <f t="array" ref="A85">IFERROR(INDEX('Agenda 2026'!A$2:A$376,MATCH(ROWS($A$7:$A85),'Agenda 2026'!$N$2:$N$376,0)),"")</f>
        <v/>
      </c>
      <c r="B85" s="43" t="str">
        <f t="array" ref="B85">IFERROR(INDEX('Agenda 2026'!P$2:P$376,MATCH(ROWS($A$7:$A85),'Agenda 2026'!$N$2:$N$376,0)),"")</f>
        <v/>
      </c>
      <c r="C85" s="44" t="str">
        <f t="array" ref="C85">IFERROR(INDEX('Agenda 2026'!B$2:B$376,MATCH(ROWS($A$7:$A85),'Agenda 2026'!$N$2:$N$376,0)),"")</f>
        <v/>
      </c>
      <c r="D85" s="44" t="str">
        <f t="array" ref="D85">IFERROR(INDEX('Agenda 2026'!C$2:C$376,MATCH(ROWS($A$7:$A85),'Agenda 2026'!$N$2:$N$376,0)),"")</f>
        <v/>
      </c>
      <c r="E85" s="44" t="str">
        <f t="array" ref="E85">IFERROR(INDEX('Agenda 2026'!D$2:D$376,MATCH(ROWS($A$7:$A85),'Agenda 2026'!$N$2:$N$376,0)),"")</f>
        <v/>
      </c>
      <c r="F85" s="45" t="str">
        <f t="array" ref="F85">IFERROR(INDEX('Agenda 2026'!E$2:E$376,MATCH(ROWS($A$7:$A85),'Agenda 2026'!$N$2:$N$376,0)),"")</f>
        <v/>
      </c>
      <c r="G85" s="44" t="str">
        <f t="array" ref="G85">IFERROR(INDEX('Agenda 2026'!F$2:F$376,MATCH(ROWS($A$7:$A85),'Agenda 2026'!$N$2:$N$376,0)),"")</f>
        <v/>
      </c>
      <c r="H85" s="44" t="str">
        <f t="array" ref="H85">IFERROR(INDEX('Agenda 2026'!G$2:G$376,MATCH(ROWS($A$7:$A85),'Agenda 2026'!$N$2:$N$376,0)),"")</f>
        <v/>
      </c>
      <c r="I85" s="46" t="str">
        <f t="array" ref="I85">IFERROR(INDEX('Agenda 2026'!H$2:H$376,MATCH(ROWS($A$7:$A85),'Agenda 2026'!$N$2:$N$376,0)),"")</f>
        <v/>
      </c>
      <c r="J85" s="47" t="s">
        <v>50</v>
      </c>
      <c r="K85" s="48" t="str">
        <f t="array" ref="K85">IFERROR(HYPERLINK(INDEX('Agenda 2026'!J$2:J$376,MATCH(ROWS($A$7:$A85),'Agenda 2026'!$N$2:$N$376,0)),"Ver fuente ↗"),"")</f>
        <v/>
      </c>
      <c r="L85" s="49" t="str">
        <f t="array" ref="L85">IFERROR(INDEX('Agenda 2026'!K$2:K$376,MATCH(ROWS($A$7:$A85),'Agenda 2026'!$N$2:$N$376,0)),"")</f>
        <v/>
      </c>
      <c r="M85" s="50" t="str">
        <f t="array" ref="M85">IFERROR(INDEX('Agenda 2026'!O$2:O$376,MATCH(ROWS($A$7:$A85),'Agenda 2026'!$N$2:$N$376,0)),"")</f>
        <v/>
      </c>
    </row>
    <row r="86" spans="1:13" ht="42" customHeight="1" x14ac:dyDescent="0.35">
      <c r="A86" s="42" t="str">
        <f t="array" ref="A86">IFERROR(INDEX('Agenda 2026'!A$2:A$376,MATCH(ROWS($A$7:$A86),'Agenda 2026'!$N$2:$N$376,0)),"")</f>
        <v/>
      </c>
      <c r="B86" s="43" t="str">
        <f t="array" ref="B86">IFERROR(INDEX('Agenda 2026'!P$2:P$376,MATCH(ROWS($A$7:$A86),'Agenda 2026'!$N$2:$N$376,0)),"")</f>
        <v/>
      </c>
      <c r="C86" s="44" t="str">
        <f t="array" ref="C86">IFERROR(INDEX('Agenda 2026'!B$2:B$376,MATCH(ROWS($A$7:$A86),'Agenda 2026'!$N$2:$N$376,0)),"")</f>
        <v/>
      </c>
      <c r="D86" s="44" t="str">
        <f t="array" ref="D86">IFERROR(INDEX('Agenda 2026'!C$2:C$376,MATCH(ROWS($A$7:$A86),'Agenda 2026'!$N$2:$N$376,0)),"")</f>
        <v/>
      </c>
      <c r="E86" s="44" t="str">
        <f t="array" ref="E86">IFERROR(INDEX('Agenda 2026'!D$2:D$376,MATCH(ROWS($A$7:$A86),'Agenda 2026'!$N$2:$N$376,0)),"")</f>
        <v/>
      </c>
      <c r="F86" s="45" t="str">
        <f t="array" ref="F86">IFERROR(INDEX('Agenda 2026'!E$2:E$376,MATCH(ROWS($A$7:$A86),'Agenda 2026'!$N$2:$N$376,0)),"")</f>
        <v/>
      </c>
      <c r="G86" s="44" t="str">
        <f t="array" ref="G86">IFERROR(INDEX('Agenda 2026'!F$2:F$376,MATCH(ROWS($A$7:$A86),'Agenda 2026'!$N$2:$N$376,0)),"")</f>
        <v/>
      </c>
      <c r="H86" s="44" t="str">
        <f t="array" ref="H86">IFERROR(INDEX('Agenda 2026'!G$2:G$376,MATCH(ROWS($A$7:$A86),'Agenda 2026'!$N$2:$N$376,0)),"")</f>
        <v/>
      </c>
      <c r="I86" s="46" t="str">
        <f t="array" ref="I86">IFERROR(INDEX('Agenda 2026'!H$2:H$376,MATCH(ROWS($A$7:$A86),'Agenda 2026'!$N$2:$N$376,0)),"")</f>
        <v/>
      </c>
      <c r="J86" s="47" t="s">
        <v>50</v>
      </c>
      <c r="K86" s="48" t="str">
        <f t="array" ref="K86">IFERROR(HYPERLINK(INDEX('Agenda 2026'!J$2:J$376,MATCH(ROWS($A$7:$A86),'Agenda 2026'!$N$2:$N$376,0)),"Ver fuente ↗"),"")</f>
        <v/>
      </c>
      <c r="L86" s="49" t="str">
        <f>IFERROR(INDEX('Agenda 2026'!K$2:K$376,MATCH(ROWS($A$7:$A86),'Agenda 2026'!$N$2:$N$376,0)),"")</f>
        <v/>
      </c>
      <c r="M86" s="50" t="str">
        <f t="array" ref="M86">IFERROR(INDEX('Agenda 2026'!O$2:O$376,MATCH(ROWS($A$7:$A86),'Agenda 2026'!$N$2:$N$376,0)),"")</f>
        <v/>
      </c>
    </row>
    <row r="87" spans="1:13" ht="42" customHeight="1" x14ac:dyDescent="0.35">
      <c r="A87" s="42" t="str">
        <f t="array" ref="A87">IFERROR(INDEX('Agenda 2026'!A$2:A$376,MATCH(ROWS($A$7:$A87),'Agenda 2026'!$N$2:$N$376,0)),"")</f>
        <v/>
      </c>
      <c r="B87" s="43" t="str">
        <f t="array" ref="B87">IFERROR(INDEX('Agenda 2026'!P$2:P$376,MATCH(ROWS($A$7:$A87),'Agenda 2026'!$N$2:$N$376,0)),"")</f>
        <v/>
      </c>
      <c r="C87" s="44" t="str">
        <f t="array" ref="C87">IFERROR(INDEX('Agenda 2026'!B$2:B$376,MATCH(ROWS($A$7:$A87),'Agenda 2026'!$N$2:$N$376,0)),"")</f>
        <v/>
      </c>
      <c r="D87" s="44" t="str">
        <f t="array" ref="D87">IFERROR(INDEX('Agenda 2026'!C$2:C$376,MATCH(ROWS($A$7:$A87),'Agenda 2026'!$N$2:$N$376,0)),"")</f>
        <v/>
      </c>
      <c r="E87" s="44" t="str">
        <f t="array" ref="E87">IFERROR(INDEX('Agenda 2026'!D$2:D$376,MATCH(ROWS($A$7:$A87),'Agenda 2026'!$N$2:$N$376,0)),"")</f>
        <v/>
      </c>
      <c r="F87" s="45" t="str">
        <f t="array" ref="F87">IFERROR(INDEX('Agenda 2026'!E$2:E$376,MATCH(ROWS($A$7:$A87),'Agenda 2026'!$N$2:$N$376,0)),"")</f>
        <v/>
      </c>
      <c r="G87" s="44" t="str">
        <f t="array" ref="G87">IFERROR(INDEX('Agenda 2026'!F$2:F$376,MATCH(ROWS($A$7:$A87),'Agenda 2026'!$N$2:$N$376,0)),"")</f>
        <v/>
      </c>
      <c r="H87" s="44" t="str">
        <f t="array" ref="H87">IFERROR(INDEX('Agenda 2026'!G$2:G$376,MATCH(ROWS($A$7:$A87),'Agenda 2026'!$N$2:$N$376,0)),"")</f>
        <v/>
      </c>
      <c r="I87" s="46" t="str">
        <f t="array" ref="I87">IFERROR(INDEX('Agenda 2026'!H$2:H$376,MATCH(ROWS($A$7:$A87),'Agenda 2026'!$N$2:$N$376,0)),"")</f>
        <v/>
      </c>
      <c r="J87" s="47" t="s">
        <v>50</v>
      </c>
      <c r="K87" s="48" t="str">
        <f t="array" ref="K87">IFERROR(HYPERLINK(INDEX('Agenda 2026'!J$2:J$376,MATCH(ROWS($A$7:$A87),'Agenda 2026'!$N$2:$N$376,0)),"Ver fuente ↗"),"")</f>
        <v/>
      </c>
      <c r="L87" s="49" t="str">
        <f t="array" ref="L87">IFERROR(INDEX('Agenda 2026'!K$2:K$376,MATCH(ROWS($A$7:$A87),'Agenda 2026'!$N$2:$N$376,0)),"")</f>
        <v/>
      </c>
      <c r="M87" s="50" t="str">
        <f t="array" ref="M87">IFERROR(INDEX('Agenda 2026'!O$2:O$376,MATCH(ROWS($A$7:$A87),'Agenda 2026'!$N$2:$N$376,0)),"")</f>
        <v/>
      </c>
    </row>
    <row r="88" spans="1:13" ht="42" customHeight="1" x14ac:dyDescent="0.35">
      <c r="A88" s="42" t="str">
        <f t="array" ref="A88">IFERROR(INDEX('Agenda 2026'!A$2:A$376,MATCH(ROWS($A$7:$A88),'Agenda 2026'!$N$2:$N$376,0)),"")</f>
        <v/>
      </c>
      <c r="B88" s="43" t="str">
        <f t="array" ref="B88">IFERROR(INDEX('Agenda 2026'!P$2:P$376,MATCH(ROWS($A$7:$A88),'Agenda 2026'!$N$2:$N$376,0)),"")</f>
        <v/>
      </c>
      <c r="C88" s="44" t="str">
        <f t="array" ref="C88">IFERROR(INDEX('Agenda 2026'!B$2:B$376,MATCH(ROWS($A$7:$A88),'Agenda 2026'!$N$2:$N$376,0)),"")</f>
        <v/>
      </c>
      <c r="D88" s="44" t="str">
        <f t="array" ref="D88">IFERROR(INDEX('Agenda 2026'!C$2:C$376,MATCH(ROWS($A$7:$A88),'Agenda 2026'!$N$2:$N$376,0)),"")</f>
        <v/>
      </c>
      <c r="E88" s="44" t="str">
        <f t="array" ref="E88">IFERROR(INDEX('Agenda 2026'!D$2:D$376,MATCH(ROWS($A$7:$A88),'Agenda 2026'!$N$2:$N$376,0)),"")</f>
        <v/>
      </c>
      <c r="F88" s="45" t="str">
        <f t="array" ref="F88">IFERROR(INDEX('Agenda 2026'!E$2:E$376,MATCH(ROWS($A$7:$A88),'Agenda 2026'!$N$2:$N$376,0)),"")</f>
        <v/>
      </c>
      <c r="G88" s="44" t="str">
        <f t="array" ref="G88">IFERROR(INDEX('Agenda 2026'!F$2:F$376,MATCH(ROWS($A$7:$A88),'Agenda 2026'!$N$2:$N$376,0)),"")</f>
        <v/>
      </c>
      <c r="H88" s="44" t="str">
        <f t="array" ref="H88">IFERROR(INDEX('Agenda 2026'!G$2:G$376,MATCH(ROWS($A$7:$A88),'Agenda 2026'!$N$2:$N$376,0)),"")</f>
        <v/>
      </c>
      <c r="I88" s="46" t="str">
        <f t="array" ref="I88">IFERROR(INDEX('Agenda 2026'!H$2:H$376,MATCH(ROWS($A$7:$A88),'Agenda 2026'!$N$2:$N$376,0)),"")</f>
        <v/>
      </c>
      <c r="J88" s="47" t="s">
        <v>50</v>
      </c>
      <c r="K88" s="48" t="str">
        <f t="array" ref="K88">IFERROR(HYPERLINK(INDEX('Agenda 2026'!J$2:J$376,MATCH(ROWS($A$7:$A88),'Agenda 2026'!$N$2:$N$376,0)),"Ver fuente ↗"),"")</f>
        <v/>
      </c>
      <c r="L88" s="49" t="str">
        <f>IFERROR(INDEX('Agenda 2026'!K$2:K$376,MATCH(ROWS($A$7:$A88),'Agenda 2026'!$N$2:$N$376,0)),"")</f>
        <v/>
      </c>
      <c r="M88" s="50" t="str">
        <f t="array" ref="M88">IFERROR(INDEX('Agenda 2026'!O$2:O$376,MATCH(ROWS($A$7:$A88),'Agenda 2026'!$N$2:$N$376,0)),"")</f>
        <v/>
      </c>
    </row>
    <row r="89" spans="1:13" ht="42" customHeight="1" x14ac:dyDescent="0.35">
      <c r="A89" s="42" t="str">
        <f t="array" ref="A89">IFERROR(INDEX('Agenda 2026'!A$2:A$376,MATCH(ROWS($A$7:$A89),'Agenda 2026'!$N$2:$N$376,0)),"")</f>
        <v/>
      </c>
      <c r="B89" s="43" t="str">
        <f t="array" ref="B89">IFERROR(INDEX('Agenda 2026'!P$2:P$376,MATCH(ROWS($A$7:$A89),'Agenda 2026'!$N$2:$N$376,0)),"")</f>
        <v/>
      </c>
      <c r="C89" s="44" t="str">
        <f t="array" ref="C89">IFERROR(INDEX('Agenda 2026'!B$2:B$376,MATCH(ROWS($A$7:$A89),'Agenda 2026'!$N$2:$N$376,0)),"")</f>
        <v/>
      </c>
      <c r="D89" s="44" t="str">
        <f t="array" ref="D89">IFERROR(INDEX('Agenda 2026'!C$2:C$376,MATCH(ROWS($A$7:$A89),'Agenda 2026'!$N$2:$N$376,0)),"")</f>
        <v/>
      </c>
      <c r="E89" s="44" t="str">
        <f t="array" ref="E89">IFERROR(INDEX('Agenda 2026'!D$2:D$376,MATCH(ROWS($A$7:$A89),'Agenda 2026'!$N$2:$N$376,0)),"")</f>
        <v/>
      </c>
      <c r="F89" s="45" t="str">
        <f t="array" ref="F89">IFERROR(INDEX('Agenda 2026'!E$2:E$376,MATCH(ROWS($A$7:$A89),'Agenda 2026'!$N$2:$N$376,0)),"")</f>
        <v/>
      </c>
      <c r="G89" s="44" t="str">
        <f t="array" ref="G89">IFERROR(INDEX('Agenda 2026'!F$2:F$376,MATCH(ROWS($A$7:$A89),'Agenda 2026'!$N$2:$N$376,0)),"")</f>
        <v/>
      </c>
      <c r="H89" s="44" t="str">
        <f t="array" ref="H89">IFERROR(INDEX('Agenda 2026'!G$2:G$376,MATCH(ROWS($A$7:$A89),'Agenda 2026'!$N$2:$N$376,0)),"")</f>
        <v/>
      </c>
      <c r="I89" s="46" t="str">
        <f t="array" ref="I89">IFERROR(INDEX('Agenda 2026'!H$2:H$376,MATCH(ROWS($A$7:$A89),'Agenda 2026'!$N$2:$N$376,0)),"")</f>
        <v/>
      </c>
      <c r="J89" s="47" t="s">
        <v>50</v>
      </c>
      <c r="K89" s="48" t="str">
        <f t="array" ref="K89">IFERROR(HYPERLINK(INDEX('Agenda 2026'!J$2:J$376,MATCH(ROWS($A$7:$A89),'Agenda 2026'!$N$2:$N$376,0)),"Ver fuente ↗"),"")</f>
        <v/>
      </c>
      <c r="L89" s="49" t="str">
        <f>IFERROR(INDEX('Agenda 2026'!K$2:K$376,MATCH(ROWS($A$7:$A89),'Agenda 2026'!$N$2:$N$376,0)),"")</f>
        <v/>
      </c>
      <c r="M89" s="50" t="str">
        <f t="array" ref="M89">IFERROR(INDEX('Agenda 2026'!O$2:O$376,MATCH(ROWS($A$7:$A89),'Agenda 2026'!$N$2:$N$376,0)),"")</f>
        <v/>
      </c>
    </row>
    <row r="90" spans="1:13" ht="42" customHeight="1" x14ac:dyDescent="0.35">
      <c r="A90" s="42" t="str">
        <f t="array" ref="A90">IFERROR(INDEX('Agenda 2026'!A$2:A$376,MATCH(ROWS($A$7:$A90),'Agenda 2026'!$N$2:$N$376,0)),"")</f>
        <v/>
      </c>
      <c r="B90" s="43" t="str">
        <f t="array" ref="B90">IFERROR(INDEX('Agenda 2026'!P$2:P$376,MATCH(ROWS($A$7:$A90),'Agenda 2026'!$N$2:$N$376,0)),"")</f>
        <v/>
      </c>
      <c r="C90" s="44" t="str">
        <f t="array" ref="C90">IFERROR(INDEX('Agenda 2026'!B$2:B$376,MATCH(ROWS($A$7:$A90),'Agenda 2026'!$N$2:$N$376,0)),"")</f>
        <v/>
      </c>
      <c r="D90" s="44" t="str">
        <f t="array" ref="D90">IFERROR(INDEX('Agenda 2026'!C$2:C$376,MATCH(ROWS($A$7:$A90),'Agenda 2026'!$N$2:$N$376,0)),"")</f>
        <v/>
      </c>
      <c r="E90" s="44" t="str">
        <f t="array" ref="E90">IFERROR(INDEX('Agenda 2026'!D$2:D$376,MATCH(ROWS($A$7:$A90),'Agenda 2026'!$N$2:$N$376,0)),"")</f>
        <v/>
      </c>
      <c r="F90" s="45" t="str">
        <f t="array" ref="F90">IFERROR(INDEX('Agenda 2026'!E$2:E$376,MATCH(ROWS($A$7:$A90),'Agenda 2026'!$N$2:$N$376,0)),"")</f>
        <v/>
      </c>
      <c r="G90" s="44" t="str">
        <f t="array" ref="G90">IFERROR(INDEX('Agenda 2026'!F$2:F$376,MATCH(ROWS($A$7:$A90),'Agenda 2026'!$N$2:$N$376,0)),"")</f>
        <v/>
      </c>
      <c r="H90" s="44" t="str">
        <f t="array" ref="H90">IFERROR(INDEX('Agenda 2026'!G$2:G$376,MATCH(ROWS($A$7:$A90),'Agenda 2026'!$N$2:$N$376,0)),"")</f>
        <v/>
      </c>
      <c r="I90" s="46" t="str">
        <f t="array" ref="I90">IFERROR(INDEX('Agenda 2026'!H$2:H$376,MATCH(ROWS($A$7:$A90),'Agenda 2026'!$N$2:$N$376,0)),"")</f>
        <v/>
      </c>
      <c r="J90" s="47" t="s">
        <v>50</v>
      </c>
      <c r="K90" s="48" t="str">
        <f t="array" ref="K90">IFERROR(HYPERLINK(INDEX('Agenda 2026'!J$2:J$376,MATCH(ROWS($A$7:$A90),'Agenda 2026'!$N$2:$N$376,0)),"Ver fuente ↗"),"")</f>
        <v/>
      </c>
      <c r="L90" s="49" t="str">
        <f t="array" ref="L90">IFERROR(INDEX('Agenda 2026'!K$2:K$376,MATCH(ROWS($A$7:$A90),'Agenda 2026'!$N$2:$N$376,0)),"")</f>
        <v/>
      </c>
      <c r="M90" s="50" t="str">
        <f t="array" ref="M90">IFERROR(INDEX('Agenda 2026'!O$2:O$376,MATCH(ROWS($A$7:$A90),'Agenda 2026'!$N$2:$N$376,0)),"")</f>
        <v/>
      </c>
    </row>
    <row r="91" spans="1:13" ht="42" customHeight="1" x14ac:dyDescent="0.35">
      <c r="A91" s="42" t="str">
        <f t="array" ref="A91">IFERROR(INDEX('Agenda 2026'!A$2:A$376,MATCH(ROWS($A$7:$A91),'Agenda 2026'!$N$2:$N$376,0)),"")</f>
        <v/>
      </c>
      <c r="B91" s="43" t="str">
        <f t="array" ref="B91">IFERROR(INDEX('Agenda 2026'!P$2:P$376,MATCH(ROWS($A$7:$A91),'Agenda 2026'!$N$2:$N$376,0)),"")</f>
        <v/>
      </c>
      <c r="C91" s="44" t="str">
        <f t="array" ref="C91">IFERROR(INDEX('Agenda 2026'!B$2:B$376,MATCH(ROWS($A$7:$A91),'Agenda 2026'!$N$2:$N$376,0)),"")</f>
        <v/>
      </c>
      <c r="D91" s="44" t="str">
        <f t="array" ref="D91">IFERROR(INDEX('Agenda 2026'!C$2:C$376,MATCH(ROWS($A$7:$A91),'Agenda 2026'!$N$2:$N$376,0)),"")</f>
        <v/>
      </c>
      <c r="E91" s="44" t="str">
        <f t="array" ref="E91">IFERROR(INDEX('Agenda 2026'!D$2:D$376,MATCH(ROWS($A$7:$A91),'Agenda 2026'!$N$2:$N$376,0)),"")</f>
        <v/>
      </c>
      <c r="F91" s="45" t="str">
        <f t="array" ref="F91">IFERROR(INDEX('Agenda 2026'!E$2:E$376,MATCH(ROWS($A$7:$A91),'Agenda 2026'!$N$2:$N$376,0)),"")</f>
        <v/>
      </c>
      <c r="G91" s="44" t="str">
        <f t="array" ref="G91">IFERROR(INDEX('Agenda 2026'!F$2:F$376,MATCH(ROWS($A$7:$A91),'Agenda 2026'!$N$2:$N$376,0)),"")</f>
        <v/>
      </c>
      <c r="H91" s="44" t="str">
        <f t="array" ref="H91">IFERROR(INDEX('Agenda 2026'!G$2:G$376,MATCH(ROWS($A$7:$A91),'Agenda 2026'!$N$2:$N$376,0)),"")</f>
        <v/>
      </c>
      <c r="I91" s="46" t="str">
        <f t="array" ref="I91">IFERROR(INDEX('Agenda 2026'!H$2:H$376,MATCH(ROWS($A$7:$A91),'Agenda 2026'!$N$2:$N$376,0)),"")</f>
        <v/>
      </c>
      <c r="J91" s="47" t="s">
        <v>50</v>
      </c>
      <c r="K91" s="48" t="str">
        <f t="array" ref="K91">IFERROR(HYPERLINK(INDEX('Agenda 2026'!J$2:J$376,MATCH(ROWS($A$7:$A91),'Agenda 2026'!$N$2:$N$376,0)),"Ver fuente ↗"),"")</f>
        <v/>
      </c>
      <c r="L91" s="49" t="str">
        <f t="array" ref="L91">IFERROR(INDEX('Agenda 2026'!K$2:K$376,MATCH(ROWS($A$7:$A91),'Agenda 2026'!$N$2:$N$376,0)),"")</f>
        <v/>
      </c>
      <c r="M91" s="50" t="str">
        <f t="array" ref="M91">IFERROR(INDEX('Agenda 2026'!O$2:O$376,MATCH(ROWS($A$7:$A91),'Agenda 2026'!$N$2:$N$376,0)),"")</f>
        <v/>
      </c>
    </row>
    <row r="92" spans="1:13" ht="42" customHeight="1" x14ac:dyDescent="0.35">
      <c r="A92" s="42" t="str">
        <f t="array" ref="A92">IFERROR(INDEX('Agenda 2026'!A$2:A$376,MATCH(ROWS($A$7:$A92),'Agenda 2026'!$N$2:$N$376,0)),"")</f>
        <v/>
      </c>
      <c r="B92" s="43" t="str">
        <f t="array" ref="B92">IFERROR(INDEX('Agenda 2026'!P$2:P$376,MATCH(ROWS($A$7:$A92),'Agenda 2026'!$N$2:$N$376,0)),"")</f>
        <v/>
      </c>
      <c r="C92" s="44" t="str">
        <f t="array" ref="C92">IFERROR(INDEX('Agenda 2026'!B$2:B$376,MATCH(ROWS($A$7:$A92),'Agenda 2026'!$N$2:$N$376,0)),"")</f>
        <v/>
      </c>
      <c r="D92" s="44" t="str">
        <f t="array" ref="D92">IFERROR(INDEX('Agenda 2026'!C$2:C$376,MATCH(ROWS($A$7:$A92),'Agenda 2026'!$N$2:$N$376,0)),"")</f>
        <v/>
      </c>
      <c r="E92" s="44" t="str">
        <f t="array" ref="E92">IFERROR(INDEX('Agenda 2026'!D$2:D$376,MATCH(ROWS($A$7:$A92),'Agenda 2026'!$N$2:$N$376,0)),"")</f>
        <v/>
      </c>
      <c r="F92" s="45" t="str">
        <f t="array" ref="F92">IFERROR(INDEX('Agenda 2026'!E$2:E$376,MATCH(ROWS($A$7:$A92),'Agenda 2026'!$N$2:$N$376,0)),"")</f>
        <v/>
      </c>
      <c r="G92" s="44" t="str">
        <f t="array" ref="G92">IFERROR(INDEX('Agenda 2026'!F$2:F$376,MATCH(ROWS($A$7:$A92),'Agenda 2026'!$N$2:$N$376,0)),"")</f>
        <v/>
      </c>
      <c r="H92" s="44" t="str">
        <f t="array" ref="H92">IFERROR(INDEX('Agenda 2026'!G$2:G$376,MATCH(ROWS($A$7:$A92),'Agenda 2026'!$N$2:$N$376,0)),"")</f>
        <v/>
      </c>
      <c r="I92" s="46" t="str">
        <f t="array" ref="I92">IFERROR(INDEX('Agenda 2026'!H$2:H$376,MATCH(ROWS($A$7:$A92),'Agenda 2026'!$N$2:$N$376,0)),"")</f>
        <v/>
      </c>
      <c r="J92" s="47" t="s">
        <v>50</v>
      </c>
      <c r="K92" s="48" t="str">
        <f t="array" ref="K92">IFERROR(HYPERLINK(INDEX('Agenda 2026'!J$2:J$376,MATCH(ROWS($A$7:$A92),'Agenda 2026'!$N$2:$N$376,0)),"Ver fuente ↗"),"")</f>
        <v/>
      </c>
      <c r="L92" s="49" t="str">
        <f>IFERROR(INDEX('Agenda 2026'!K$2:K$376,MATCH(ROWS($A$7:$A92),'Agenda 2026'!$N$2:$N$376,0)),"")</f>
        <v/>
      </c>
      <c r="M92" s="50" t="str">
        <f t="array" ref="M92">IFERROR(INDEX('Agenda 2026'!O$2:O$376,MATCH(ROWS($A$7:$A92),'Agenda 2026'!$N$2:$N$376,0)),"")</f>
        <v/>
      </c>
    </row>
    <row r="93" spans="1:13" ht="42" customHeight="1" x14ac:dyDescent="0.35">
      <c r="A93" s="42" t="str">
        <f t="array" ref="A93">IFERROR(INDEX('Agenda 2026'!A$2:A$376,MATCH(ROWS($A$7:$A93),'Agenda 2026'!$N$2:$N$376,0)),"")</f>
        <v/>
      </c>
      <c r="B93" s="43" t="str">
        <f t="array" ref="B93">IFERROR(INDEX('Agenda 2026'!P$2:P$376,MATCH(ROWS($A$7:$A93),'Agenda 2026'!$N$2:$N$376,0)),"")</f>
        <v/>
      </c>
      <c r="C93" s="44" t="str">
        <f t="array" ref="C93">IFERROR(INDEX('Agenda 2026'!B$2:B$376,MATCH(ROWS($A$7:$A93),'Agenda 2026'!$N$2:$N$376,0)),"")</f>
        <v/>
      </c>
      <c r="D93" s="44" t="str">
        <f t="array" ref="D93">IFERROR(INDEX('Agenda 2026'!C$2:C$376,MATCH(ROWS($A$7:$A93),'Agenda 2026'!$N$2:$N$376,0)),"")</f>
        <v/>
      </c>
      <c r="E93" s="44" t="str">
        <f t="array" ref="E93">IFERROR(INDEX('Agenda 2026'!D$2:D$376,MATCH(ROWS($A$7:$A93),'Agenda 2026'!$N$2:$N$376,0)),"")</f>
        <v/>
      </c>
      <c r="F93" s="45" t="str">
        <f t="array" ref="F93">IFERROR(INDEX('Agenda 2026'!E$2:E$376,MATCH(ROWS($A$7:$A93),'Agenda 2026'!$N$2:$N$376,0)),"")</f>
        <v/>
      </c>
      <c r="G93" s="44" t="str">
        <f t="array" ref="G93">IFERROR(INDEX('Agenda 2026'!F$2:F$376,MATCH(ROWS($A$7:$A93),'Agenda 2026'!$N$2:$N$376,0)),"")</f>
        <v/>
      </c>
      <c r="H93" s="44" t="str">
        <f t="array" ref="H93">IFERROR(INDEX('Agenda 2026'!G$2:G$376,MATCH(ROWS($A$7:$A93),'Agenda 2026'!$N$2:$N$376,0)),"")</f>
        <v/>
      </c>
      <c r="I93" s="46" t="str">
        <f t="array" ref="I93">IFERROR(INDEX('Agenda 2026'!H$2:H$376,MATCH(ROWS($A$7:$A93),'Agenda 2026'!$N$2:$N$376,0)),"")</f>
        <v/>
      </c>
      <c r="J93" s="47" t="s">
        <v>50</v>
      </c>
      <c r="K93" s="48" t="str">
        <f t="array" ref="K93">IFERROR(HYPERLINK(INDEX('Agenda 2026'!J$2:J$376,MATCH(ROWS($A$7:$A93),'Agenda 2026'!$N$2:$N$376,0)),"Ver fuente ↗"),"")</f>
        <v/>
      </c>
      <c r="L93" s="49" t="str">
        <f t="array" ref="L93">IFERROR(INDEX('Agenda 2026'!K$2:K$376,MATCH(ROWS($A$7:$A93),'Agenda 2026'!$N$2:$N$376,0)),"")</f>
        <v/>
      </c>
      <c r="M93" s="50" t="str">
        <f t="array" ref="M93">IFERROR(INDEX('Agenda 2026'!O$2:O$376,MATCH(ROWS($A$7:$A93),'Agenda 2026'!$N$2:$N$376,0)),"")</f>
        <v/>
      </c>
    </row>
    <row r="94" spans="1:13" ht="42" customHeight="1" x14ac:dyDescent="0.35">
      <c r="A94" s="42" t="str">
        <f t="array" ref="A94">IFERROR(INDEX('Agenda 2026'!A$2:A$376,MATCH(ROWS($A$7:$A94),'Agenda 2026'!$N$2:$N$376,0)),"")</f>
        <v/>
      </c>
      <c r="B94" s="43" t="str">
        <f t="array" ref="B94">IFERROR(INDEX('Agenda 2026'!P$2:P$376,MATCH(ROWS($A$7:$A94),'Agenda 2026'!$N$2:$N$376,0)),"")</f>
        <v/>
      </c>
      <c r="C94" s="44" t="str">
        <f t="array" ref="C94">IFERROR(INDEX('Agenda 2026'!B$2:B$376,MATCH(ROWS($A$7:$A94),'Agenda 2026'!$N$2:$N$376,0)),"")</f>
        <v/>
      </c>
      <c r="D94" s="44" t="str">
        <f t="array" ref="D94">IFERROR(INDEX('Agenda 2026'!C$2:C$376,MATCH(ROWS($A$7:$A94),'Agenda 2026'!$N$2:$N$376,0)),"")</f>
        <v/>
      </c>
      <c r="E94" s="44" t="str">
        <f t="array" ref="E94">IFERROR(INDEX('Agenda 2026'!D$2:D$376,MATCH(ROWS($A$7:$A94),'Agenda 2026'!$N$2:$N$376,0)),"")</f>
        <v/>
      </c>
      <c r="F94" s="45" t="str">
        <f t="array" ref="F94">IFERROR(INDEX('Agenda 2026'!E$2:E$376,MATCH(ROWS($A$7:$A94),'Agenda 2026'!$N$2:$N$376,0)),"")</f>
        <v/>
      </c>
      <c r="G94" s="44" t="str">
        <f t="array" ref="G94">IFERROR(INDEX('Agenda 2026'!F$2:F$376,MATCH(ROWS($A$7:$A94),'Agenda 2026'!$N$2:$N$376,0)),"")</f>
        <v/>
      </c>
      <c r="H94" s="44" t="str">
        <f t="array" ref="H94">IFERROR(INDEX('Agenda 2026'!G$2:G$376,MATCH(ROWS($A$7:$A94),'Agenda 2026'!$N$2:$N$376,0)),"")</f>
        <v/>
      </c>
      <c r="I94" s="46" t="str">
        <f t="array" ref="I94">IFERROR(INDEX('Agenda 2026'!H$2:H$376,MATCH(ROWS($A$7:$A94),'Agenda 2026'!$N$2:$N$376,0)),"")</f>
        <v/>
      </c>
      <c r="J94" s="47" t="s">
        <v>50</v>
      </c>
      <c r="K94" s="48" t="str">
        <f t="array" ref="K94">IFERROR(HYPERLINK(INDEX('Agenda 2026'!J$2:J$376,MATCH(ROWS($A$7:$A94),'Agenda 2026'!$N$2:$N$376,0)),"Ver fuente ↗"),"")</f>
        <v/>
      </c>
      <c r="L94" s="49" t="str">
        <f>IFERROR(INDEX('Agenda 2026'!K$2:K$376,MATCH(ROWS($A$7:$A94),'Agenda 2026'!$N$2:$N$376,0)),"")</f>
        <v/>
      </c>
      <c r="M94" s="50" t="str">
        <f t="array" ref="M94">IFERROR(INDEX('Agenda 2026'!O$2:O$376,MATCH(ROWS($A$7:$A94),'Agenda 2026'!$N$2:$N$376,0)),"")</f>
        <v/>
      </c>
    </row>
    <row r="95" spans="1:13" ht="42" customHeight="1" x14ac:dyDescent="0.35">
      <c r="A95" s="42" t="str">
        <f t="array" ref="A95">IFERROR(INDEX('Agenda 2026'!A$2:A$376,MATCH(ROWS($A$7:$A95),'Agenda 2026'!$N$2:$N$376,0)),"")</f>
        <v/>
      </c>
      <c r="B95" s="43" t="str">
        <f t="array" ref="B95">IFERROR(INDEX('Agenda 2026'!P$2:P$376,MATCH(ROWS($A$7:$A95),'Agenda 2026'!$N$2:$N$376,0)),"")</f>
        <v/>
      </c>
      <c r="C95" s="44" t="str">
        <f t="array" ref="C95">IFERROR(INDEX('Agenda 2026'!B$2:B$376,MATCH(ROWS($A$7:$A95),'Agenda 2026'!$N$2:$N$376,0)),"")</f>
        <v/>
      </c>
      <c r="D95" s="44" t="str">
        <f t="array" ref="D95">IFERROR(INDEX('Agenda 2026'!C$2:C$376,MATCH(ROWS($A$7:$A95),'Agenda 2026'!$N$2:$N$376,0)),"")</f>
        <v/>
      </c>
      <c r="E95" s="44" t="str">
        <f t="array" ref="E95">IFERROR(INDEX('Agenda 2026'!D$2:D$376,MATCH(ROWS($A$7:$A95),'Agenda 2026'!$N$2:$N$376,0)),"")</f>
        <v/>
      </c>
      <c r="F95" s="45" t="str">
        <f t="array" ref="F95">IFERROR(INDEX('Agenda 2026'!E$2:E$376,MATCH(ROWS($A$7:$A95),'Agenda 2026'!$N$2:$N$376,0)),"")</f>
        <v/>
      </c>
      <c r="G95" s="44" t="str">
        <f t="array" ref="G95">IFERROR(INDEX('Agenda 2026'!F$2:F$376,MATCH(ROWS($A$7:$A95),'Agenda 2026'!$N$2:$N$376,0)),"")</f>
        <v/>
      </c>
      <c r="H95" s="44" t="str">
        <f t="array" ref="H95">IFERROR(INDEX('Agenda 2026'!G$2:G$376,MATCH(ROWS($A$7:$A95),'Agenda 2026'!$N$2:$N$376,0)),"")</f>
        <v/>
      </c>
      <c r="I95" s="46" t="str">
        <f t="array" ref="I95">IFERROR(INDEX('Agenda 2026'!H$2:H$376,MATCH(ROWS($A$7:$A95),'Agenda 2026'!$N$2:$N$376,0)),"")</f>
        <v/>
      </c>
      <c r="J95" s="47" t="s">
        <v>50</v>
      </c>
      <c r="K95" s="48" t="str">
        <f t="array" ref="K95">IFERROR(HYPERLINK(INDEX('Agenda 2026'!J$2:J$376,MATCH(ROWS($A$7:$A95),'Agenda 2026'!$N$2:$N$376,0)),"Ver fuente ↗"),"")</f>
        <v/>
      </c>
      <c r="L95" s="49" t="str">
        <f>IFERROR(INDEX('Agenda 2026'!K$2:K$376,MATCH(ROWS($A$7:$A95),'Agenda 2026'!$N$2:$N$376,0)),"")</f>
        <v/>
      </c>
      <c r="M95" s="50" t="str">
        <f t="array" ref="M95">IFERROR(INDEX('Agenda 2026'!O$2:O$376,MATCH(ROWS($A$7:$A95),'Agenda 2026'!$N$2:$N$376,0)),"")</f>
        <v/>
      </c>
    </row>
    <row r="96" spans="1:13" ht="42" customHeight="1" x14ac:dyDescent="0.35">
      <c r="A96" s="42" t="str">
        <f t="array" ref="A96">IFERROR(INDEX('Agenda 2026'!A$2:A$376,MATCH(ROWS($A$7:$A96),'Agenda 2026'!$N$2:$N$376,0)),"")</f>
        <v/>
      </c>
      <c r="B96" s="43" t="str">
        <f t="array" ref="B96">IFERROR(INDEX('Agenda 2026'!P$2:P$376,MATCH(ROWS($A$7:$A96),'Agenda 2026'!$N$2:$N$376,0)),"")</f>
        <v/>
      </c>
      <c r="C96" s="44" t="str">
        <f t="array" ref="C96">IFERROR(INDEX('Agenda 2026'!B$2:B$376,MATCH(ROWS($A$7:$A96),'Agenda 2026'!$N$2:$N$376,0)),"")</f>
        <v/>
      </c>
      <c r="D96" s="44" t="str">
        <f t="array" ref="D96">IFERROR(INDEX('Agenda 2026'!C$2:C$376,MATCH(ROWS($A$7:$A96),'Agenda 2026'!$N$2:$N$376,0)),"")</f>
        <v/>
      </c>
      <c r="E96" s="44" t="str">
        <f t="array" ref="E96">IFERROR(INDEX('Agenda 2026'!D$2:D$376,MATCH(ROWS($A$7:$A96),'Agenda 2026'!$N$2:$N$376,0)),"")</f>
        <v/>
      </c>
      <c r="F96" s="45" t="str">
        <f t="array" ref="F96">IFERROR(INDEX('Agenda 2026'!E$2:E$376,MATCH(ROWS($A$7:$A96),'Agenda 2026'!$N$2:$N$376,0)),"")</f>
        <v/>
      </c>
      <c r="G96" s="44" t="str">
        <f t="array" ref="G96">IFERROR(INDEX('Agenda 2026'!F$2:F$376,MATCH(ROWS($A$7:$A96),'Agenda 2026'!$N$2:$N$376,0)),"")</f>
        <v/>
      </c>
      <c r="H96" s="44" t="str">
        <f t="array" ref="H96">IFERROR(INDEX('Agenda 2026'!G$2:G$376,MATCH(ROWS($A$7:$A96),'Agenda 2026'!$N$2:$N$376,0)),"")</f>
        <v/>
      </c>
      <c r="I96" s="46" t="str">
        <f t="array" ref="I96">IFERROR(INDEX('Agenda 2026'!H$2:H$376,MATCH(ROWS($A$7:$A96),'Agenda 2026'!$N$2:$N$376,0)),"")</f>
        <v/>
      </c>
      <c r="J96" s="47" t="s">
        <v>50</v>
      </c>
      <c r="K96" s="48" t="str">
        <f t="array" ref="K96">IFERROR(HYPERLINK(INDEX('Agenda 2026'!J$2:J$376,MATCH(ROWS($A$7:$A96),'Agenda 2026'!$N$2:$N$376,0)),"Ver fuente ↗"),"")</f>
        <v/>
      </c>
      <c r="L96" s="49" t="str">
        <f>IFERROR(INDEX('Agenda 2026'!K$2:K$376,MATCH(ROWS($A$7:$A96),'Agenda 2026'!$N$2:$N$376,0)),"")</f>
        <v/>
      </c>
      <c r="M96" s="50" t="str">
        <f t="array" ref="M96">IFERROR(INDEX('Agenda 2026'!O$2:O$376,MATCH(ROWS($A$7:$A96),'Agenda 2026'!$N$2:$N$376,0)),"")</f>
        <v/>
      </c>
    </row>
    <row r="97" spans="1:13" ht="42" customHeight="1" x14ac:dyDescent="0.35">
      <c r="A97" s="42" t="str">
        <f t="array" ref="A97">IFERROR(INDEX('Agenda 2026'!A$2:A$376,MATCH(ROWS($A$7:$A97),'Agenda 2026'!$N$2:$N$376,0)),"")</f>
        <v/>
      </c>
      <c r="B97" s="43" t="str">
        <f t="array" ref="B97">IFERROR(INDEX('Agenda 2026'!P$2:P$376,MATCH(ROWS($A$7:$A97),'Agenda 2026'!$N$2:$N$376,0)),"")</f>
        <v/>
      </c>
      <c r="C97" s="44" t="str">
        <f t="array" ref="C97">IFERROR(INDEX('Agenda 2026'!B$2:B$376,MATCH(ROWS($A$7:$A97),'Agenda 2026'!$N$2:$N$376,0)),"")</f>
        <v/>
      </c>
      <c r="D97" s="44" t="str">
        <f t="array" ref="D97">IFERROR(INDEX('Agenda 2026'!C$2:C$376,MATCH(ROWS($A$7:$A97),'Agenda 2026'!$N$2:$N$376,0)),"")</f>
        <v/>
      </c>
      <c r="E97" s="44" t="str">
        <f t="array" ref="E97">IFERROR(INDEX('Agenda 2026'!D$2:D$376,MATCH(ROWS($A$7:$A97),'Agenda 2026'!$N$2:$N$376,0)),"")</f>
        <v/>
      </c>
      <c r="F97" s="45" t="str">
        <f t="array" ref="F97">IFERROR(INDEX('Agenda 2026'!E$2:E$376,MATCH(ROWS($A$7:$A97),'Agenda 2026'!$N$2:$N$376,0)),"")</f>
        <v/>
      </c>
      <c r="G97" s="44" t="str">
        <f t="array" ref="G97">IFERROR(INDEX('Agenda 2026'!F$2:F$376,MATCH(ROWS($A$7:$A97),'Agenda 2026'!$N$2:$N$376,0)),"")</f>
        <v/>
      </c>
      <c r="H97" s="44" t="str">
        <f t="array" ref="H97">IFERROR(INDEX('Agenda 2026'!G$2:G$376,MATCH(ROWS($A$7:$A97),'Agenda 2026'!$N$2:$N$376,0)),"")</f>
        <v/>
      </c>
      <c r="I97" s="46" t="str">
        <f t="array" ref="I97">IFERROR(INDEX('Agenda 2026'!H$2:H$376,MATCH(ROWS($A$7:$A97),'Agenda 2026'!$N$2:$N$376,0)),"")</f>
        <v/>
      </c>
      <c r="J97" s="47" t="s">
        <v>50</v>
      </c>
      <c r="K97" s="48" t="str">
        <f t="array" ref="K97">IFERROR(HYPERLINK(INDEX('Agenda 2026'!J$2:J$376,MATCH(ROWS($A$7:$A97),'Agenda 2026'!$N$2:$N$376,0)),"Ver fuente ↗"),"")</f>
        <v/>
      </c>
      <c r="L97" s="49" t="str">
        <f>IFERROR(INDEX('Agenda 2026'!K$2:K$376,MATCH(ROWS($A$7:$A97),'Agenda 2026'!$N$2:$N$376,0)),"")</f>
        <v/>
      </c>
      <c r="M97" s="50" t="str">
        <f t="array" ref="M97">IFERROR(INDEX('Agenda 2026'!O$2:O$376,MATCH(ROWS($A$7:$A97),'Agenda 2026'!$N$2:$N$376,0)),"")</f>
        <v/>
      </c>
    </row>
    <row r="98" spans="1:13" ht="42" customHeight="1" x14ac:dyDescent="0.35">
      <c r="A98" s="42" t="str">
        <f t="array" ref="A98">IFERROR(INDEX('Agenda 2026'!A$2:A$376,MATCH(ROWS($A$7:$A98),'Agenda 2026'!$N$2:$N$376,0)),"")</f>
        <v/>
      </c>
      <c r="B98" s="43" t="str">
        <f t="array" ref="B98">IFERROR(INDEX('Agenda 2026'!P$2:P$376,MATCH(ROWS($A$7:$A98),'Agenda 2026'!$N$2:$N$376,0)),"")</f>
        <v/>
      </c>
      <c r="C98" s="44" t="str">
        <f t="array" ref="C98">IFERROR(INDEX('Agenda 2026'!B$2:B$376,MATCH(ROWS($A$7:$A98),'Agenda 2026'!$N$2:$N$376,0)),"")</f>
        <v/>
      </c>
      <c r="D98" s="44" t="str">
        <f t="array" ref="D98">IFERROR(INDEX('Agenda 2026'!C$2:C$376,MATCH(ROWS($A$7:$A98),'Agenda 2026'!$N$2:$N$376,0)),"")</f>
        <v/>
      </c>
      <c r="E98" s="44" t="str">
        <f t="array" ref="E98">IFERROR(INDEX('Agenda 2026'!D$2:D$376,MATCH(ROWS($A$7:$A98),'Agenda 2026'!$N$2:$N$376,0)),"")</f>
        <v/>
      </c>
      <c r="F98" s="45" t="str">
        <f t="array" ref="F98">IFERROR(INDEX('Agenda 2026'!E$2:E$376,MATCH(ROWS($A$7:$A98),'Agenda 2026'!$N$2:$N$376,0)),"")</f>
        <v/>
      </c>
      <c r="G98" s="44" t="str">
        <f t="array" ref="G98">IFERROR(INDEX('Agenda 2026'!F$2:F$376,MATCH(ROWS($A$7:$A98),'Agenda 2026'!$N$2:$N$376,0)),"")</f>
        <v/>
      </c>
      <c r="H98" s="44" t="str">
        <f t="array" ref="H98">IFERROR(INDEX('Agenda 2026'!G$2:G$376,MATCH(ROWS($A$7:$A98),'Agenda 2026'!$N$2:$N$376,0)),"")</f>
        <v/>
      </c>
      <c r="I98" s="46" t="str">
        <f t="array" ref="I98">IFERROR(INDEX('Agenda 2026'!H$2:H$376,MATCH(ROWS($A$7:$A98),'Agenda 2026'!$N$2:$N$376,0)),"")</f>
        <v/>
      </c>
      <c r="J98" s="47" t="s">
        <v>50</v>
      </c>
      <c r="K98" s="48" t="str">
        <f t="array" ref="K98">IFERROR(HYPERLINK(INDEX('Agenda 2026'!J$2:J$376,MATCH(ROWS($A$7:$A98),'Agenda 2026'!$N$2:$N$376,0)),"Ver fuente ↗"),"")</f>
        <v/>
      </c>
      <c r="L98" s="49" t="str">
        <f>IFERROR(INDEX('Agenda 2026'!K$2:K$376,MATCH(ROWS($A$7:$A98),'Agenda 2026'!$N$2:$N$376,0)),"")</f>
        <v/>
      </c>
      <c r="M98" s="50" t="str">
        <f t="array" ref="M98">IFERROR(INDEX('Agenda 2026'!O$2:O$376,MATCH(ROWS($A$7:$A98),'Agenda 2026'!$N$2:$N$376,0)),"")</f>
        <v/>
      </c>
    </row>
    <row r="99" spans="1:13" ht="42" customHeight="1" x14ac:dyDescent="0.35">
      <c r="A99" s="42" t="str">
        <f t="array" ref="A99">IFERROR(INDEX('Agenda 2026'!A$2:A$376,MATCH(ROWS($A$7:$A99),'Agenda 2026'!$N$2:$N$376,0)),"")</f>
        <v/>
      </c>
      <c r="B99" s="43" t="str">
        <f t="array" ref="B99">IFERROR(INDEX('Agenda 2026'!P$2:P$376,MATCH(ROWS($A$7:$A99),'Agenda 2026'!$N$2:$N$376,0)),"")</f>
        <v/>
      </c>
      <c r="C99" s="44" t="str">
        <f t="array" ref="C99">IFERROR(INDEX('Agenda 2026'!B$2:B$376,MATCH(ROWS($A$7:$A99),'Agenda 2026'!$N$2:$N$376,0)),"")</f>
        <v/>
      </c>
      <c r="D99" s="44" t="str">
        <f t="array" ref="D99">IFERROR(INDEX('Agenda 2026'!C$2:C$376,MATCH(ROWS($A$7:$A99),'Agenda 2026'!$N$2:$N$376,0)),"")</f>
        <v/>
      </c>
      <c r="E99" s="44" t="str">
        <f t="array" ref="E99">IFERROR(INDEX('Agenda 2026'!D$2:D$376,MATCH(ROWS($A$7:$A99),'Agenda 2026'!$N$2:$N$376,0)),"")</f>
        <v/>
      </c>
      <c r="F99" s="45" t="str">
        <f t="array" ref="F99">IFERROR(INDEX('Agenda 2026'!E$2:E$376,MATCH(ROWS($A$7:$A99),'Agenda 2026'!$N$2:$N$376,0)),"")</f>
        <v/>
      </c>
      <c r="G99" s="44" t="str">
        <f t="array" ref="G99">IFERROR(INDEX('Agenda 2026'!F$2:F$376,MATCH(ROWS($A$7:$A99),'Agenda 2026'!$N$2:$N$376,0)),"")</f>
        <v/>
      </c>
      <c r="H99" s="44" t="str">
        <f t="array" ref="H99">IFERROR(INDEX('Agenda 2026'!G$2:G$376,MATCH(ROWS($A$7:$A99),'Agenda 2026'!$N$2:$N$376,0)),"")</f>
        <v/>
      </c>
      <c r="I99" s="46" t="str">
        <f t="array" ref="I99">IFERROR(INDEX('Agenda 2026'!H$2:H$376,MATCH(ROWS($A$7:$A99),'Agenda 2026'!$N$2:$N$376,0)),"")</f>
        <v/>
      </c>
      <c r="J99" s="47" t="s">
        <v>50</v>
      </c>
      <c r="K99" s="48" t="str">
        <f t="array" ref="K99">IFERROR(HYPERLINK(INDEX('Agenda 2026'!J$2:J$376,MATCH(ROWS($A$7:$A99),'Agenda 2026'!$N$2:$N$376,0)),"Ver fuente ↗"),"")</f>
        <v/>
      </c>
      <c r="L99" s="49" t="str">
        <f>IFERROR(INDEX('Agenda 2026'!K$2:K$376,MATCH(ROWS($A$7:$A99),'Agenda 2026'!$N$2:$N$376,0)),"")</f>
        <v/>
      </c>
      <c r="M99" s="50" t="str">
        <f t="array" ref="M99">IFERROR(INDEX('Agenda 2026'!O$2:O$376,MATCH(ROWS($A$7:$A99),'Agenda 2026'!$N$2:$N$376,0)),"")</f>
        <v/>
      </c>
    </row>
    <row r="100" spans="1:13" ht="42" customHeight="1" x14ac:dyDescent="0.35">
      <c r="A100" s="42" t="str">
        <f t="array" ref="A100">IFERROR(INDEX('Agenda 2026'!A$2:A$376,MATCH(ROWS($A$7:$A100),'Agenda 2026'!$N$2:$N$376,0)),"")</f>
        <v/>
      </c>
      <c r="B100" s="43" t="str">
        <f t="array" ref="B100">IFERROR(INDEX('Agenda 2026'!P$2:P$376,MATCH(ROWS($A$7:$A100),'Agenda 2026'!$N$2:$N$376,0)),"")</f>
        <v/>
      </c>
      <c r="C100" s="44" t="str">
        <f t="array" ref="C100">IFERROR(INDEX('Agenda 2026'!B$2:B$376,MATCH(ROWS($A$7:$A100),'Agenda 2026'!$N$2:$N$376,0)),"")</f>
        <v/>
      </c>
      <c r="D100" s="44" t="str">
        <f t="array" ref="D100">IFERROR(INDEX('Agenda 2026'!C$2:C$376,MATCH(ROWS($A$7:$A100),'Agenda 2026'!$N$2:$N$376,0)),"")</f>
        <v/>
      </c>
      <c r="E100" s="44" t="str">
        <f t="array" ref="E100">IFERROR(INDEX('Agenda 2026'!D$2:D$376,MATCH(ROWS($A$7:$A100),'Agenda 2026'!$N$2:$N$376,0)),"")</f>
        <v/>
      </c>
      <c r="F100" s="45" t="str">
        <f t="array" ref="F100">IFERROR(INDEX('Agenda 2026'!E$2:E$376,MATCH(ROWS($A$7:$A100),'Agenda 2026'!$N$2:$N$376,0)),"")</f>
        <v/>
      </c>
      <c r="G100" s="44" t="str">
        <f t="array" ref="G100">IFERROR(INDEX('Agenda 2026'!F$2:F$376,MATCH(ROWS($A$7:$A100),'Agenda 2026'!$N$2:$N$376,0)),"")</f>
        <v/>
      </c>
      <c r="H100" s="44" t="str">
        <f t="array" ref="H100">IFERROR(INDEX('Agenda 2026'!G$2:G$376,MATCH(ROWS($A$7:$A100),'Agenda 2026'!$N$2:$N$376,0)),"")</f>
        <v/>
      </c>
      <c r="I100" s="46" t="str">
        <f t="array" ref="I100">IFERROR(INDEX('Agenda 2026'!H$2:H$376,MATCH(ROWS($A$7:$A100),'Agenda 2026'!$N$2:$N$376,0)),"")</f>
        <v/>
      </c>
      <c r="J100" s="47" t="s">
        <v>50</v>
      </c>
      <c r="K100" s="48" t="str">
        <f t="array" ref="K100">IFERROR(HYPERLINK(INDEX('Agenda 2026'!J$2:J$376,MATCH(ROWS($A$7:$A100),'Agenda 2026'!$N$2:$N$376,0)),"Ver fuente ↗"),"")</f>
        <v/>
      </c>
      <c r="L100" s="49" t="str">
        <f>IFERROR(INDEX('Agenda 2026'!K$2:K$376,MATCH(ROWS($A$7:$A100),'Agenda 2026'!$N$2:$N$376,0)),"")</f>
        <v/>
      </c>
      <c r="M100" s="50" t="str">
        <f t="array" ref="M100">IFERROR(INDEX('Agenda 2026'!O$2:O$376,MATCH(ROWS($A$7:$A100),'Agenda 2026'!$N$2:$N$376,0)),"")</f>
        <v/>
      </c>
    </row>
    <row r="101" spans="1:13" ht="42" customHeight="1" x14ac:dyDescent="0.35">
      <c r="A101" s="42" t="str">
        <f t="array" ref="A101">IFERROR(INDEX('Agenda 2026'!A$2:A$376,MATCH(ROWS($A$7:$A101),'Agenda 2026'!$N$2:$N$376,0)),"")</f>
        <v/>
      </c>
      <c r="B101" s="43" t="str">
        <f t="array" ref="B101">IFERROR(INDEX('Agenda 2026'!P$2:P$376,MATCH(ROWS($A$7:$A101),'Agenda 2026'!$N$2:$N$376,0)),"")</f>
        <v/>
      </c>
      <c r="C101" s="44" t="str">
        <f t="array" ref="C101">IFERROR(INDEX('Agenda 2026'!B$2:B$376,MATCH(ROWS($A$7:$A101),'Agenda 2026'!$N$2:$N$376,0)),"")</f>
        <v/>
      </c>
      <c r="D101" s="44" t="str">
        <f t="array" ref="D101">IFERROR(INDEX('Agenda 2026'!C$2:C$376,MATCH(ROWS($A$7:$A101),'Agenda 2026'!$N$2:$N$376,0)),"")</f>
        <v/>
      </c>
      <c r="E101" s="44" t="str">
        <f t="array" ref="E101">IFERROR(INDEX('Agenda 2026'!D$2:D$376,MATCH(ROWS($A$7:$A101),'Agenda 2026'!$N$2:$N$376,0)),"")</f>
        <v/>
      </c>
      <c r="F101" s="45" t="str">
        <f t="array" ref="F101">IFERROR(INDEX('Agenda 2026'!E$2:E$376,MATCH(ROWS($A$7:$A101),'Agenda 2026'!$N$2:$N$376,0)),"")</f>
        <v/>
      </c>
      <c r="G101" s="44" t="str">
        <f t="array" ref="G101">IFERROR(INDEX('Agenda 2026'!F$2:F$376,MATCH(ROWS($A$7:$A101),'Agenda 2026'!$N$2:$N$376,0)),"")</f>
        <v/>
      </c>
      <c r="H101" s="44" t="str">
        <f t="array" ref="H101">IFERROR(INDEX('Agenda 2026'!G$2:G$376,MATCH(ROWS($A$7:$A101),'Agenda 2026'!$N$2:$N$376,0)),"")</f>
        <v/>
      </c>
      <c r="I101" s="46" t="str">
        <f t="array" ref="I101">IFERROR(INDEX('Agenda 2026'!H$2:H$376,MATCH(ROWS($A$7:$A101),'Agenda 2026'!$N$2:$N$376,0)),"")</f>
        <v/>
      </c>
      <c r="J101" s="47" t="s">
        <v>50</v>
      </c>
      <c r="K101" s="48" t="str">
        <f t="array" ref="K101">IFERROR(HYPERLINK(INDEX('Agenda 2026'!J$2:J$376,MATCH(ROWS($A$7:$A101),'Agenda 2026'!$N$2:$N$376,0)),"Ver fuente ↗"),"")</f>
        <v/>
      </c>
      <c r="L101" s="49" t="str">
        <f t="array" ref="L101">IFERROR(INDEX('Agenda 2026'!K$2:K$376,MATCH(ROWS($A$7:$A101),'Agenda 2026'!$N$2:$N$376,0)),"")</f>
        <v/>
      </c>
      <c r="M101" s="50" t="str">
        <f t="array" ref="M101">IFERROR(INDEX('Agenda 2026'!O$2:O$376,MATCH(ROWS($A$7:$A101),'Agenda 2026'!$N$2:$N$376,0)),"")</f>
        <v/>
      </c>
    </row>
    <row r="102" spans="1:13" ht="42" customHeight="1" x14ac:dyDescent="0.35">
      <c r="A102" s="42" t="str">
        <f t="array" ref="A102">IFERROR(INDEX('Agenda 2026'!A$2:A$376,MATCH(ROWS($A$7:$A102),'Agenda 2026'!$N$2:$N$376,0)),"")</f>
        <v/>
      </c>
      <c r="B102" s="43" t="str">
        <f t="array" ref="B102">IFERROR(INDEX('Agenda 2026'!P$2:P$376,MATCH(ROWS($A$7:$A102),'Agenda 2026'!$N$2:$N$376,0)),"")</f>
        <v/>
      </c>
      <c r="C102" s="44" t="str">
        <f t="array" ref="C102">IFERROR(INDEX('Agenda 2026'!B$2:B$376,MATCH(ROWS($A$7:$A102),'Agenda 2026'!$N$2:$N$376,0)),"")</f>
        <v/>
      </c>
      <c r="D102" s="44" t="str">
        <f t="array" ref="D102">IFERROR(INDEX('Agenda 2026'!C$2:C$376,MATCH(ROWS($A$7:$A102),'Agenda 2026'!$N$2:$N$376,0)),"")</f>
        <v/>
      </c>
      <c r="E102" s="44" t="str">
        <f t="array" ref="E102">IFERROR(INDEX('Agenda 2026'!D$2:D$376,MATCH(ROWS($A$7:$A102),'Agenda 2026'!$N$2:$N$376,0)),"")</f>
        <v/>
      </c>
      <c r="F102" s="45" t="str">
        <f t="array" ref="F102">IFERROR(INDEX('Agenda 2026'!E$2:E$376,MATCH(ROWS($A$7:$A102),'Agenda 2026'!$N$2:$N$376,0)),"")</f>
        <v/>
      </c>
      <c r="G102" s="44" t="str">
        <f t="array" ref="G102">IFERROR(INDEX('Agenda 2026'!F$2:F$376,MATCH(ROWS($A$7:$A102),'Agenda 2026'!$N$2:$N$376,0)),"")</f>
        <v/>
      </c>
      <c r="H102" s="44" t="str">
        <f t="array" ref="H102">IFERROR(INDEX('Agenda 2026'!G$2:G$376,MATCH(ROWS($A$7:$A102),'Agenda 2026'!$N$2:$N$376,0)),"")</f>
        <v/>
      </c>
      <c r="I102" s="46" t="str">
        <f t="array" ref="I102">IFERROR(INDEX('Agenda 2026'!H$2:H$376,MATCH(ROWS($A$7:$A102),'Agenda 2026'!$N$2:$N$376,0)),"")</f>
        <v/>
      </c>
      <c r="J102" s="47" t="s">
        <v>50</v>
      </c>
      <c r="K102" s="48" t="str">
        <f t="array" ref="K102">IFERROR(HYPERLINK(INDEX('Agenda 2026'!J$2:J$376,MATCH(ROWS($A$7:$A102),'Agenda 2026'!$N$2:$N$376,0)),"Ver fuente ↗"),"")</f>
        <v/>
      </c>
      <c r="L102" s="49" t="str">
        <f>IFERROR(INDEX('Agenda 2026'!K$2:K$376,MATCH(ROWS($A$7:$A102),'Agenda 2026'!$N$2:$N$376,0)),"")</f>
        <v/>
      </c>
      <c r="M102" s="50" t="str">
        <f t="array" ref="M102">IFERROR(INDEX('Agenda 2026'!O$2:O$376,MATCH(ROWS($A$7:$A102),'Agenda 2026'!$N$2:$N$376,0)),"")</f>
        <v/>
      </c>
    </row>
    <row r="103" spans="1:13" ht="42" customHeight="1" x14ac:dyDescent="0.35">
      <c r="A103" s="42" t="str">
        <f t="array" ref="A103">IFERROR(INDEX('Agenda 2026'!A$2:A$376,MATCH(ROWS($A$7:$A103),'Agenda 2026'!$N$2:$N$376,0)),"")</f>
        <v/>
      </c>
      <c r="B103" s="43" t="str">
        <f t="array" ref="B103">IFERROR(INDEX('Agenda 2026'!P$2:P$376,MATCH(ROWS($A$7:$A103),'Agenda 2026'!$N$2:$N$376,0)),"")</f>
        <v/>
      </c>
      <c r="C103" s="44" t="str">
        <f t="array" ref="C103">IFERROR(INDEX('Agenda 2026'!B$2:B$376,MATCH(ROWS($A$7:$A103),'Agenda 2026'!$N$2:$N$376,0)),"")</f>
        <v/>
      </c>
      <c r="D103" s="44" t="str">
        <f t="array" ref="D103">IFERROR(INDEX('Agenda 2026'!C$2:C$376,MATCH(ROWS($A$7:$A103),'Agenda 2026'!$N$2:$N$376,0)),"")</f>
        <v/>
      </c>
      <c r="E103" s="44" t="str">
        <f t="array" ref="E103">IFERROR(INDEX('Agenda 2026'!D$2:D$376,MATCH(ROWS($A$7:$A103),'Agenda 2026'!$N$2:$N$376,0)),"")</f>
        <v/>
      </c>
      <c r="F103" s="45" t="str">
        <f t="array" ref="F103">IFERROR(INDEX('Agenda 2026'!E$2:E$376,MATCH(ROWS($A$7:$A103),'Agenda 2026'!$N$2:$N$376,0)),"")</f>
        <v/>
      </c>
      <c r="G103" s="44" t="str">
        <f t="array" ref="G103">IFERROR(INDEX('Agenda 2026'!F$2:F$376,MATCH(ROWS($A$7:$A103),'Agenda 2026'!$N$2:$N$376,0)),"")</f>
        <v/>
      </c>
      <c r="H103" s="44" t="str">
        <f t="array" ref="H103">IFERROR(INDEX('Agenda 2026'!G$2:G$376,MATCH(ROWS($A$7:$A103),'Agenda 2026'!$N$2:$N$376,0)),"")</f>
        <v/>
      </c>
      <c r="I103" s="46" t="str">
        <f t="array" ref="I103">IFERROR(INDEX('Agenda 2026'!H$2:H$376,MATCH(ROWS($A$7:$A103),'Agenda 2026'!$N$2:$N$376,0)),"")</f>
        <v/>
      </c>
      <c r="J103" s="47" t="s">
        <v>50</v>
      </c>
      <c r="K103" s="48" t="str">
        <f t="array" ref="K103">IFERROR(HYPERLINK(INDEX('Agenda 2026'!J$2:J$376,MATCH(ROWS($A$7:$A103),'Agenda 2026'!$N$2:$N$376,0)),"Ver fuente ↗"),"")</f>
        <v/>
      </c>
      <c r="L103" s="49" t="str">
        <f t="array" ref="L103">IFERROR(INDEX('Agenda 2026'!K$2:K$376,MATCH(ROWS($A$7:$A103),'Agenda 2026'!$N$2:$N$376,0)),"")</f>
        <v/>
      </c>
      <c r="M103" s="50" t="str">
        <f t="array" ref="M103">IFERROR(INDEX('Agenda 2026'!O$2:O$376,MATCH(ROWS($A$7:$A103),'Agenda 2026'!$N$2:$N$376,0)),"")</f>
        <v/>
      </c>
    </row>
    <row r="104" spans="1:13" ht="42" customHeight="1" x14ac:dyDescent="0.35">
      <c r="A104" s="42" t="str">
        <f t="array" ref="A104">IFERROR(INDEX('Agenda 2026'!A$2:A$376,MATCH(ROWS($A$7:$A104),'Agenda 2026'!$N$2:$N$376,0)),"")</f>
        <v/>
      </c>
      <c r="B104" s="43" t="str">
        <f t="array" ref="B104">IFERROR(INDEX('Agenda 2026'!P$2:P$376,MATCH(ROWS($A$7:$A104),'Agenda 2026'!$N$2:$N$376,0)),"")</f>
        <v/>
      </c>
      <c r="C104" s="44" t="str">
        <f t="array" ref="C104">IFERROR(INDEX('Agenda 2026'!B$2:B$376,MATCH(ROWS($A$7:$A104),'Agenda 2026'!$N$2:$N$376,0)),"")</f>
        <v/>
      </c>
      <c r="D104" s="44" t="str">
        <f t="array" ref="D104">IFERROR(INDEX('Agenda 2026'!C$2:C$376,MATCH(ROWS($A$7:$A104),'Agenda 2026'!$N$2:$N$376,0)),"")</f>
        <v/>
      </c>
      <c r="E104" s="44" t="str">
        <f t="array" ref="E104">IFERROR(INDEX('Agenda 2026'!D$2:D$376,MATCH(ROWS($A$7:$A104),'Agenda 2026'!$N$2:$N$376,0)),"")</f>
        <v/>
      </c>
      <c r="F104" s="45" t="str">
        <f t="array" ref="F104">IFERROR(INDEX('Agenda 2026'!E$2:E$376,MATCH(ROWS($A$7:$A104),'Agenda 2026'!$N$2:$N$376,0)),"")</f>
        <v/>
      </c>
      <c r="G104" s="44" t="str">
        <f t="array" ref="G104">IFERROR(INDEX('Agenda 2026'!F$2:F$376,MATCH(ROWS($A$7:$A104),'Agenda 2026'!$N$2:$N$376,0)),"")</f>
        <v/>
      </c>
      <c r="H104" s="44" t="str">
        <f t="array" ref="H104">IFERROR(INDEX('Agenda 2026'!G$2:G$376,MATCH(ROWS($A$7:$A104),'Agenda 2026'!$N$2:$N$376,0)),"")</f>
        <v/>
      </c>
      <c r="I104" s="46" t="str">
        <f t="array" ref="I104">IFERROR(INDEX('Agenda 2026'!H$2:H$376,MATCH(ROWS($A$7:$A104),'Agenda 2026'!$N$2:$N$376,0)),"")</f>
        <v/>
      </c>
      <c r="J104" s="47" t="s">
        <v>50</v>
      </c>
      <c r="K104" s="48" t="str">
        <f t="array" ref="K104">IFERROR(HYPERLINK(INDEX('Agenda 2026'!J$2:J$376,MATCH(ROWS($A$7:$A104),'Agenda 2026'!$N$2:$N$376,0)),"Ver fuente ↗"),"")</f>
        <v/>
      </c>
      <c r="L104" s="49" t="str">
        <f>IFERROR(INDEX('Agenda 2026'!K$2:K$376,MATCH(ROWS($A$7:$A104),'Agenda 2026'!$N$2:$N$376,0)),"")</f>
        <v/>
      </c>
      <c r="M104" s="50" t="str">
        <f t="array" ref="M104">IFERROR(INDEX('Agenda 2026'!O$2:O$376,MATCH(ROWS($A$7:$A104),'Agenda 2026'!$N$2:$N$376,0)),"")</f>
        <v/>
      </c>
    </row>
    <row r="105" spans="1:13" ht="42" customHeight="1" x14ac:dyDescent="0.35">
      <c r="A105" s="42" t="str">
        <f t="array" ref="A105">IFERROR(INDEX('Agenda 2026'!A$2:A$376,MATCH(ROWS($A$7:$A105),'Agenda 2026'!$N$2:$N$376,0)),"")</f>
        <v/>
      </c>
      <c r="B105" s="43" t="str">
        <f t="array" ref="B105">IFERROR(INDEX('Agenda 2026'!P$2:P$376,MATCH(ROWS($A$7:$A105),'Agenda 2026'!$N$2:$N$376,0)),"")</f>
        <v/>
      </c>
      <c r="C105" s="44" t="str">
        <f t="array" ref="C105">IFERROR(INDEX('Agenda 2026'!B$2:B$376,MATCH(ROWS($A$7:$A105),'Agenda 2026'!$N$2:$N$376,0)),"")</f>
        <v/>
      </c>
      <c r="D105" s="44" t="str">
        <f t="array" ref="D105">IFERROR(INDEX('Agenda 2026'!C$2:C$376,MATCH(ROWS($A$7:$A105),'Agenda 2026'!$N$2:$N$376,0)),"")</f>
        <v/>
      </c>
      <c r="E105" s="44" t="str">
        <f t="array" ref="E105">IFERROR(INDEX('Agenda 2026'!D$2:D$376,MATCH(ROWS($A$7:$A105),'Agenda 2026'!$N$2:$N$376,0)),"")</f>
        <v/>
      </c>
      <c r="F105" s="45" t="str">
        <f t="array" ref="F105">IFERROR(INDEX('Agenda 2026'!E$2:E$376,MATCH(ROWS($A$7:$A105),'Agenda 2026'!$N$2:$N$376,0)),"")</f>
        <v/>
      </c>
      <c r="G105" s="44" t="str">
        <f t="array" ref="G105">IFERROR(INDEX('Agenda 2026'!F$2:F$376,MATCH(ROWS($A$7:$A105),'Agenda 2026'!$N$2:$N$376,0)),"")</f>
        <v/>
      </c>
      <c r="H105" s="44" t="str">
        <f t="array" ref="H105">IFERROR(INDEX('Agenda 2026'!G$2:G$376,MATCH(ROWS($A$7:$A105),'Agenda 2026'!$N$2:$N$376,0)),"")</f>
        <v/>
      </c>
      <c r="I105" s="46" t="str">
        <f t="array" ref="I105">IFERROR(INDEX('Agenda 2026'!H$2:H$376,MATCH(ROWS($A$7:$A105),'Agenda 2026'!$N$2:$N$376,0)),"")</f>
        <v/>
      </c>
      <c r="J105" s="47" t="s">
        <v>50</v>
      </c>
      <c r="K105" s="48" t="str">
        <f t="array" ref="K105">IFERROR(HYPERLINK(INDEX('Agenda 2026'!J$2:J$376,MATCH(ROWS($A$7:$A105),'Agenda 2026'!$N$2:$N$376,0)),"Ver fuente ↗"),"")</f>
        <v/>
      </c>
      <c r="L105" s="49" t="str">
        <f>IFERROR(INDEX('Agenda 2026'!K$2:K$376,MATCH(ROWS($A$7:$A105),'Agenda 2026'!$N$2:$N$376,0)),"")</f>
        <v/>
      </c>
      <c r="M105" s="50" t="str">
        <f t="array" ref="M105">IFERROR(INDEX('Agenda 2026'!O$2:O$376,MATCH(ROWS($A$7:$A105),'Agenda 2026'!$N$2:$N$376,0)),"")</f>
        <v/>
      </c>
    </row>
    <row r="106" spans="1:13" ht="42" customHeight="1" x14ac:dyDescent="0.35">
      <c r="A106" s="42" t="str">
        <f t="array" ref="A106">IFERROR(INDEX('Agenda 2026'!A$2:A$376,MATCH(ROWS($A$7:$A106),'Agenda 2026'!$N$2:$N$376,0)),"")</f>
        <v/>
      </c>
      <c r="B106" s="43" t="str">
        <f t="array" ref="B106">IFERROR(INDEX('Agenda 2026'!P$2:P$376,MATCH(ROWS($A$7:$A106),'Agenda 2026'!$N$2:$N$376,0)),"")</f>
        <v/>
      </c>
      <c r="C106" s="44" t="str">
        <f t="array" ref="C106">IFERROR(INDEX('Agenda 2026'!B$2:B$376,MATCH(ROWS($A$7:$A106),'Agenda 2026'!$N$2:$N$376,0)),"")</f>
        <v/>
      </c>
      <c r="D106" s="44" t="str">
        <f t="array" ref="D106">IFERROR(INDEX('Agenda 2026'!C$2:C$376,MATCH(ROWS($A$7:$A106),'Agenda 2026'!$N$2:$N$376,0)),"")</f>
        <v/>
      </c>
      <c r="E106" s="44" t="str">
        <f t="array" ref="E106">IFERROR(INDEX('Agenda 2026'!D$2:D$376,MATCH(ROWS($A$7:$A106),'Agenda 2026'!$N$2:$N$376,0)),"")</f>
        <v/>
      </c>
      <c r="F106" s="45" t="str">
        <f t="array" ref="F106">IFERROR(INDEX('Agenda 2026'!E$2:E$376,MATCH(ROWS($A$7:$A106),'Agenda 2026'!$N$2:$N$376,0)),"")</f>
        <v/>
      </c>
      <c r="G106" s="44" t="str">
        <f t="array" ref="G106">IFERROR(INDEX('Agenda 2026'!F$2:F$376,MATCH(ROWS($A$7:$A106),'Agenda 2026'!$N$2:$N$376,0)),"")</f>
        <v/>
      </c>
      <c r="H106" s="44" t="str">
        <f t="array" ref="H106">IFERROR(INDEX('Agenda 2026'!G$2:G$376,MATCH(ROWS($A$7:$A106),'Agenda 2026'!$N$2:$N$376,0)),"")</f>
        <v/>
      </c>
      <c r="I106" s="46" t="str">
        <f t="array" ref="I106">IFERROR(INDEX('Agenda 2026'!H$2:H$376,MATCH(ROWS($A$7:$A106),'Agenda 2026'!$N$2:$N$376,0)),"")</f>
        <v/>
      </c>
      <c r="J106" s="47" t="s">
        <v>50</v>
      </c>
      <c r="K106" s="48" t="str">
        <f t="array" ref="K106">IFERROR(HYPERLINK(INDEX('Agenda 2026'!J$2:J$376,MATCH(ROWS($A$7:$A106),'Agenda 2026'!$N$2:$N$376,0)),"Ver fuente ↗"),"")</f>
        <v/>
      </c>
      <c r="L106" s="49" t="str">
        <f t="array" ref="L106">IFERROR(INDEX('Agenda 2026'!K$2:K$376,MATCH(ROWS($A$7:$A106),'Agenda 2026'!$N$2:$N$376,0)),"")</f>
        <v/>
      </c>
      <c r="M106" s="50" t="str">
        <f t="array" ref="M106">IFERROR(INDEX('Agenda 2026'!O$2:O$376,MATCH(ROWS($A$7:$A106),'Agenda 2026'!$N$2:$N$376,0)),"")</f>
        <v/>
      </c>
    </row>
    <row r="107" spans="1:13" ht="42" customHeight="1" x14ac:dyDescent="0.35">
      <c r="A107" s="42" t="str">
        <f t="array" ref="A107">IFERROR(INDEX('Agenda 2026'!A$2:A$376,MATCH(ROWS($A$7:$A107),'Agenda 2026'!$N$2:$N$376,0)),"")</f>
        <v/>
      </c>
      <c r="B107" s="43" t="str">
        <f t="array" ref="B107">IFERROR(INDEX('Agenda 2026'!P$2:P$376,MATCH(ROWS($A$7:$A107),'Agenda 2026'!$N$2:$N$376,0)),"")</f>
        <v/>
      </c>
      <c r="C107" s="44" t="str">
        <f t="array" ref="C107">IFERROR(INDEX('Agenda 2026'!B$2:B$376,MATCH(ROWS($A$7:$A107),'Agenda 2026'!$N$2:$N$376,0)),"")</f>
        <v/>
      </c>
      <c r="D107" s="44" t="str">
        <f t="array" ref="D107">IFERROR(INDEX('Agenda 2026'!C$2:C$376,MATCH(ROWS($A$7:$A107),'Agenda 2026'!$N$2:$N$376,0)),"")</f>
        <v/>
      </c>
      <c r="E107" s="44" t="str">
        <f t="array" ref="E107">IFERROR(INDEX('Agenda 2026'!D$2:D$376,MATCH(ROWS($A$7:$A107),'Agenda 2026'!$N$2:$N$376,0)),"")</f>
        <v/>
      </c>
      <c r="F107" s="45" t="str">
        <f t="array" ref="F107">IFERROR(INDEX('Agenda 2026'!E$2:E$376,MATCH(ROWS($A$7:$A107),'Agenda 2026'!$N$2:$N$376,0)),"")</f>
        <v/>
      </c>
      <c r="G107" s="44" t="str">
        <f t="array" ref="G107">IFERROR(INDEX('Agenda 2026'!F$2:F$376,MATCH(ROWS($A$7:$A107),'Agenda 2026'!$N$2:$N$376,0)),"")</f>
        <v/>
      </c>
      <c r="H107" s="44" t="str">
        <f t="array" ref="H107">IFERROR(INDEX('Agenda 2026'!G$2:G$376,MATCH(ROWS($A$7:$A107),'Agenda 2026'!$N$2:$N$376,0)),"")</f>
        <v/>
      </c>
      <c r="I107" s="46" t="str">
        <f t="array" ref="I107">IFERROR(INDEX('Agenda 2026'!H$2:H$376,MATCH(ROWS($A$7:$A107),'Agenda 2026'!$N$2:$N$376,0)),"")</f>
        <v/>
      </c>
      <c r="J107" s="47" t="s">
        <v>50</v>
      </c>
      <c r="K107" s="48" t="str">
        <f t="array" ref="K107">IFERROR(HYPERLINK(INDEX('Agenda 2026'!J$2:J$376,MATCH(ROWS($A$7:$A107),'Agenda 2026'!$N$2:$N$376,0)),"Ver fuente ↗"),"")</f>
        <v/>
      </c>
      <c r="L107" s="49" t="str">
        <f t="array" ref="L107">IFERROR(INDEX('Agenda 2026'!K$2:K$376,MATCH(ROWS($A$7:$A107),'Agenda 2026'!$N$2:$N$376,0)),"")</f>
        <v/>
      </c>
      <c r="M107" s="50" t="str">
        <f t="array" ref="M107">IFERROR(INDEX('Agenda 2026'!O$2:O$376,MATCH(ROWS($A$7:$A107),'Agenda 2026'!$N$2:$N$376,0)),"")</f>
        <v/>
      </c>
    </row>
    <row r="108" spans="1:13" ht="42" customHeight="1" x14ac:dyDescent="0.35">
      <c r="A108" s="42" t="str">
        <f t="array" ref="A108">IFERROR(INDEX('Agenda 2026'!A$2:A$376,MATCH(ROWS($A$7:$A108),'Agenda 2026'!$N$2:$N$376,0)),"")</f>
        <v/>
      </c>
      <c r="B108" s="43" t="str">
        <f t="array" ref="B108">IFERROR(INDEX('Agenda 2026'!P$2:P$376,MATCH(ROWS($A$7:$A108),'Agenda 2026'!$N$2:$N$376,0)),"")</f>
        <v/>
      </c>
      <c r="C108" s="44" t="str">
        <f t="array" ref="C108">IFERROR(INDEX('Agenda 2026'!B$2:B$376,MATCH(ROWS($A$7:$A108),'Agenda 2026'!$N$2:$N$376,0)),"")</f>
        <v/>
      </c>
      <c r="D108" s="44" t="str">
        <f t="array" ref="D108">IFERROR(INDEX('Agenda 2026'!C$2:C$376,MATCH(ROWS($A$7:$A108),'Agenda 2026'!$N$2:$N$376,0)),"")</f>
        <v/>
      </c>
      <c r="E108" s="44" t="str">
        <f t="array" ref="E108">IFERROR(INDEX('Agenda 2026'!D$2:D$376,MATCH(ROWS($A$7:$A108),'Agenda 2026'!$N$2:$N$376,0)),"")</f>
        <v/>
      </c>
      <c r="F108" s="45" t="str">
        <f t="array" ref="F108">IFERROR(INDEX('Agenda 2026'!E$2:E$376,MATCH(ROWS($A$7:$A108),'Agenda 2026'!$N$2:$N$376,0)),"")</f>
        <v/>
      </c>
      <c r="G108" s="44" t="str">
        <f t="array" ref="G108">IFERROR(INDEX('Agenda 2026'!F$2:F$376,MATCH(ROWS($A$7:$A108),'Agenda 2026'!$N$2:$N$376,0)),"")</f>
        <v/>
      </c>
      <c r="H108" s="44" t="str">
        <f t="array" ref="H108">IFERROR(INDEX('Agenda 2026'!G$2:G$376,MATCH(ROWS($A$7:$A108),'Agenda 2026'!$N$2:$N$376,0)),"")</f>
        <v/>
      </c>
      <c r="I108" s="46" t="str">
        <f t="array" ref="I108">IFERROR(INDEX('Agenda 2026'!H$2:H$376,MATCH(ROWS($A$7:$A108),'Agenda 2026'!$N$2:$N$376,0)),"")</f>
        <v/>
      </c>
      <c r="J108" s="47" t="s">
        <v>50</v>
      </c>
      <c r="K108" s="48" t="str">
        <f t="array" ref="K108">IFERROR(HYPERLINK(INDEX('Agenda 2026'!J$2:J$376,MATCH(ROWS($A$7:$A108),'Agenda 2026'!$N$2:$N$376,0)),"Ver fuente ↗"),"")</f>
        <v/>
      </c>
      <c r="L108" s="49" t="str">
        <f t="array" ref="L108">IFERROR(INDEX('Agenda 2026'!K$2:K$376,MATCH(ROWS($A$7:$A108),'Agenda 2026'!$N$2:$N$376,0)),"")</f>
        <v/>
      </c>
      <c r="M108" s="50" t="str">
        <f t="array" ref="M108">IFERROR(INDEX('Agenda 2026'!O$2:O$376,MATCH(ROWS($A$7:$A108),'Agenda 2026'!$N$2:$N$376,0)),"")</f>
        <v/>
      </c>
    </row>
    <row r="109" spans="1:13" ht="42" customHeight="1" x14ac:dyDescent="0.35">
      <c r="A109" s="42" t="str">
        <f t="array" ref="A109">IFERROR(INDEX('Agenda 2026'!A$2:A$376,MATCH(ROWS($A$7:$A109),'Agenda 2026'!$N$2:$N$376,0)),"")</f>
        <v/>
      </c>
      <c r="B109" s="43" t="str">
        <f t="array" ref="B109">IFERROR(INDEX('Agenda 2026'!P$2:P$376,MATCH(ROWS($A$7:$A109),'Agenda 2026'!$N$2:$N$376,0)),"")</f>
        <v/>
      </c>
      <c r="C109" s="44" t="str">
        <f t="array" ref="C109">IFERROR(INDEX('Agenda 2026'!B$2:B$376,MATCH(ROWS($A$7:$A109),'Agenda 2026'!$N$2:$N$376,0)),"")</f>
        <v/>
      </c>
      <c r="D109" s="44" t="str">
        <f t="array" ref="D109">IFERROR(INDEX('Agenda 2026'!C$2:C$376,MATCH(ROWS($A$7:$A109),'Agenda 2026'!$N$2:$N$376,0)),"")</f>
        <v/>
      </c>
      <c r="E109" s="44" t="str">
        <f t="array" ref="E109">IFERROR(INDEX('Agenda 2026'!D$2:D$376,MATCH(ROWS($A$7:$A109),'Agenda 2026'!$N$2:$N$376,0)),"")</f>
        <v/>
      </c>
      <c r="F109" s="45" t="str">
        <f t="array" ref="F109">IFERROR(INDEX('Agenda 2026'!E$2:E$376,MATCH(ROWS($A$7:$A109),'Agenda 2026'!$N$2:$N$376,0)),"")</f>
        <v/>
      </c>
      <c r="G109" s="44" t="str">
        <f t="array" ref="G109">IFERROR(INDEX('Agenda 2026'!F$2:F$376,MATCH(ROWS($A$7:$A109),'Agenda 2026'!$N$2:$N$376,0)),"")</f>
        <v/>
      </c>
      <c r="H109" s="44" t="str">
        <f t="array" ref="H109">IFERROR(INDEX('Agenda 2026'!G$2:G$376,MATCH(ROWS($A$7:$A109),'Agenda 2026'!$N$2:$N$376,0)),"")</f>
        <v/>
      </c>
      <c r="I109" s="46" t="str">
        <f t="array" ref="I109">IFERROR(INDEX('Agenda 2026'!H$2:H$376,MATCH(ROWS($A$7:$A109),'Agenda 2026'!$N$2:$N$376,0)),"")</f>
        <v/>
      </c>
      <c r="J109" s="47" t="s">
        <v>50</v>
      </c>
      <c r="K109" s="48" t="str">
        <f t="array" ref="K109">IFERROR(HYPERLINK(INDEX('Agenda 2026'!J$2:J$376,MATCH(ROWS($A$7:$A109),'Agenda 2026'!$N$2:$N$376,0)),"Ver fuente ↗"),"")</f>
        <v/>
      </c>
      <c r="L109" s="49" t="str">
        <f>IFERROR(INDEX('Agenda 2026'!K$2:K$376,MATCH(ROWS($A$7:$A109),'Agenda 2026'!$N$2:$N$376,0)),"")</f>
        <v/>
      </c>
      <c r="M109" s="50" t="str">
        <f t="array" ref="M109">IFERROR(INDEX('Agenda 2026'!O$2:O$376,MATCH(ROWS($A$7:$A109),'Agenda 2026'!$N$2:$N$376,0)),"")</f>
        <v/>
      </c>
    </row>
    <row r="110" spans="1:13" ht="42" customHeight="1" x14ac:dyDescent="0.35">
      <c r="A110" s="42" t="str">
        <f t="array" ref="A110">IFERROR(INDEX('Agenda 2026'!A$2:A$376,MATCH(ROWS($A$7:$A110),'Agenda 2026'!$N$2:$N$376,0)),"")</f>
        <v/>
      </c>
      <c r="B110" s="43" t="str">
        <f t="array" ref="B110">IFERROR(INDEX('Agenda 2026'!P$2:P$376,MATCH(ROWS($A$7:$A110),'Agenda 2026'!$N$2:$N$376,0)),"")</f>
        <v/>
      </c>
      <c r="C110" s="44" t="str">
        <f t="array" ref="C110">IFERROR(INDEX('Agenda 2026'!B$2:B$376,MATCH(ROWS($A$7:$A110),'Agenda 2026'!$N$2:$N$376,0)),"")</f>
        <v/>
      </c>
      <c r="D110" s="44" t="str">
        <f t="array" ref="D110">IFERROR(INDEX('Agenda 2026'!C$2:C$376,MATCH(ROWS($A$7:$A110),'Agenda 2026'!$N$2:$N$376,0)),"")</f>
        <v/>
      </c>
      <c r="E110" s="44" t="str">
        <f t="array" ref="E110">IFERROR(INDEX('Agenda 2026'!D$2:D$376,MATCH(ROWS($A$7:$A110),'Agenda 2026'!$N$2:$N$376,0)),"")</f>
        <v/>
      </c>
      <c r="F110" s="45" t="str">
        <f t="array" ref="F110">IFERROR(INDEX('Agenda 2026'!E$2:E$376,MATCH(ROWS($A$7:$A110),'Agenda 2026'!$N$2:$N$376,0)),"")</f>
        <v/>
      </c>
      <c r="G110" s="44" t="str">
        <f t="array" ref="G110">IFERROR(INDEX('Agenda 2026'!F$2:F$376,MATCH(ROWS($A$7:$A110),'Agenda 2026'!$N$2:$N$376,0)),"")</f>
        <v/>
      </c>
      <c r="H110" s="44" t="str">
        <f t="array" ref="H110">IFERROR(INDEX('Agenda 2026'!G$2:G$376,MATCH(ROWS($A$7:$A110),'Agenda 2026'!$N$2:$N$376,0)),"")</f>
        <v/>
      </c>
      <c r="I110" s="46" t="str">
        <f t="array" ref="I110">IFERROR(INDEX('Agenda 2026'!H$2:H$376,MATCH(ROWS($A$7:$A110),'Agenda 2026'!$N$2:$N$376,0)),"")</f>
        <v/>
      </c>
      <c r="J110" s="47" t="s">
        <v>50</v>
      </c>
      <c r="K110" s="48" t="str">
        <f t="array" ref="K110">IFERROR(HYPERLINK(INDEX('Agenda 2026'!J$2:J$376,MATCH(ROWS($A$7:$A110),'Agenda 2026'!$N$2:$N$376,0)),"Ver fuente ↗"),"")</f>
        <v/>
      </c>
      <c r="L110" s="49" t="str">
        <f>IFERROR(INDEX('Agenda 2026'!K$2:K$376,MATCH(ROWS($A$7:$A110),'Agenda 2026'!$N$2:$N$376,0)),"")</f>
        <v/>
      </c>
      <c r="M110" s="50" t="str">
        <f t="array" ref="M110">IFERROR(INDEX('Agenda 2026'!O$2:O$376,MATCH(ROWS($A$7:$A110),'Agenda 2026'!$N$2:$N$376,0)),"")</f>
        <v/>
      </c>
    </row>
    <row r="111" spans="1:13" ht="42" customHeight="1" x14ac:dyDescent="0.35">
      <c r="A111" s="42" t="str">
        <f t="array" ref="A111">IFERROR(INDEX('Agenda 2026'!A$2:A$376,MATCH(ROWS($A$7:$A111),'Agenda 2026'!$N$2:$N$376,0)),"")</f>
        <v/>
      </c>
      <c r="B111" s="43" t="str">
        <f t="array" ref="B111">IFERROR(INDEX('Agenda 2026'!P$2:P$376,MATCH(ROWS($A$7:$A111),'Agenda 2026'!$N$2:$N$376,0)),"")</f>
        <v/>
      </c>
      <c r="C111" s="44" t="str">
        <f t="array" ref="C111">IFERROR(INDEX('Agenda 2026'!B$2:B$376,MATCH(ROWS($A$7:$A111),'Agenda 2026'!$N$2:$N$376,0)),"")</f>
        <v/>
      </c>
      <c r="D111" s="44" t="str">
        <f t="array" ref="D111">IFERROR(INDEX('Agenda 2026'!C$2:C$376,MATCH(ROWS($A$7:$A111),'Agenda 2026'!$N$2:$N$376,0)),"")</f>
        <v/>
      </c>
      <c r="E111" s="44" t="str">
        <f t="array" ref="E111">IFERROR(INDEX('Agenda 2026'!D$2:D$376,MATCH(ROWS($A$7:$A111),'Agenda 2026'!$N$2:$N$376,0)),"")</f>
        <v/>
      </c>
      <c r="F111" s="45" t="str">
        <f t="array" ref="F111">IFERROR(INDEX('Agenda 2026'!E$2:E$376,MATCH(ROWS($A$7:$A111),'Agenda 2026'!$N$2:$N$376,0)),"")</f>
        <v/>
      </c>
      <c r="G111" s="44" t="str">
        <f t="array" ref="G111">IFERROR(INDEX('Agenda 2026'!F$2:F$376,MATCH(ROWS($A$7:$A111),'Agenda 2026'!$N$2:$N$376,0)),"")</f>
        <v/>
      </c>
      <c r="H111" s="44" t="str">
        <f t="array" ref="H111">IFERROR(INDEX('Agenda 2026'!G$2:G$376,MATCH(ROWS($A$7:$A111),'Agenda 2026'!$N$2:$N$376,0)),"")</f>
        <v/>
      </c>
      <c r="I111" s="46" t="str">
        <f t="array" ref="I111">IFERROR(INDEX('Agenda 2026'!H$2:H$376,MATCH(ROWS($A$7:$A111),'Agenda 2026'!$N$2:$N$376,0)),"")</f>
        <v/>
      </c>
      <c r="J111" s="47" t="s">
        <v>50</v>
      </c>
      <c r="K111" s="48" t="str">
        <f t="array" ref="K111">IFERROR(HYPERLINK(INDEX('Agenda 2026'!J$2:J$376,MATCH(ROWS($A$7:$A111),'Agenda 2026'!$N$2:$N$376,0)),"Ver fuente ↗"),"")</f>
        <v/>
      </c>
      <c r="L111" s="49" t="str">
        <f>IFERROR(INDEX('Agenda 2026'!K$2:K$376,MATCH(ROWS($A$7:$A111),'Agenda 2026'!$N$2:$N$376,0)),"")</f>
        <v/>
      </c>
      <c r="M111" s="50" t="str">
        <f t="array" ref="M111">IFERROR(INDEX('Agenda 2026'!O$2:O$376,MATCH(ROWS($A$7:$A111),'Agenda 2026'!$N$2:$N$376,0)),"")</f>
        <v/>
      </c>
    </row>
    <row r="112" spans="1:13" ht="42" customHeight="1" x14ac:dyDescent="0.35">
      <c r="A112" s="42" t="str">
        <f t="array" ref="A112">IFERROR(INDEX('Agenda 2026'!A$2:A$376,MATCH(ROWS($A$7:$A112),'Agenda 2026'!$N$2:$N$376,0)),"")</f>
        <v/>
      </c>
      <c r="B112" s="43" t="str">
        <f t="array" ref="B112">IFERROR(INDEX('Agenda 2026'!P$2:P$376,MATCH(ROWS($A$7:$A112),'Agenda 2026'!$N$2:$N$376,0)),"")</f>
        <v/>
      </c>
      <c r="C112" s="44" t="str">
        <f t="array" ref="C112">IFERROR(INDEX('Agenda 2026'!B$2:B$376,MATCH(ROWS($A$7:$A112),'Agenda 2026'!$N$2:$N$376,0)),"")</f>
        <v/>
      </c>
      <c r="D112" s="44" t="str">
        <f t="array" ref="D112">IFERROR(INDEX('Agenda 2026'!C$2:C$376,MATCH(ROWS($A$7:$A112),'Agenda 2026'!$N$2:$N$376,0)),"")</f>
        <v/>
      </c>
      <c r="E112" s="44" t="str">
        <f t="array" ref="E112">IFERROR(INDEX('Agenda 2026'!D$2:D$376,MATCH(ROWS($A$7:$A112),'Agenda 2026'!$N$2:$N$376,0)),"")</f>
        <v/>
      </c>
      <c r="F112" s="45" t="str">
        <f t="array" ref="F112">IFERROR(INDEX('Agenda 2026'!E$2:E$376,MATCH(ROWS($A$7:$A112),'Agenda 2026'!$N$2:$N$376,0)),"")</f>
        <v/>
      </c>
      <c r="G112" s="44" t="str">
        <f t="array" ref="G112">IFERROR(INDEX('Agenda 2026'!F$2:F$376,MATCH(ROWS($A$7:$A112),'Agenda 2026'!$N$2:$N$376,0)),"")</f>
        <v/>
      </c>
      <c r="H112" s="44" t="str">
        <f t="array" ref="H112">IFERROR(INDEX('Agenda 2026'!G$2:G$376,MATCH(ROWS($A$7:$A112),'Agenda 2026'!$N$2:$N$376,0)),"")</f>
        <v/>
      </c>
      <c r="I112" s="46" t="str">
        <f t="array" ref="I112">IFERROR(INDEX('Agenda 2026'!H$2:H$376,MATCH(ROWS($A$7:$A112),'Agenda 2026'!$N$2:$N$376,0)),"")</f>
        <v/>
      </c>
      <c r="J112" s="47" t="s">
        <v>50</v>
      </c>
      <c r="K112" s="48" t="str">
        <f t="array" ref="K112">IFERROR(HYPERLINK(INDEX('Agenda 2026'!J$2:J$376,MATCH(ROWS($A$7:$A112),'Agenda 2026'!$N$2:$N$376,0)),"Ver fuente ↗"),"")</f>
        <v/>
      </c>
      <c r="L112" s="49" t="str">
        <f>IFERROR(INDEX('Agenda 2026'!K$2:K$376,MATCH(ROWS($A$7:$A112),'Agenda 2026'!$N$2:$N$376,0)),"")</f>
        <v/>
      </c>
      <c r="M112" s="50" t="str">
        <f t="array" ref="M112">IFERROR(INDEX('Agenda 2026'!O$2:O$376,MATCH(ROWS($A$7:$A112),'Agenda 2026'!$N$2:$N$376,0)),"")</f>
        <v/>
      </c>
    </row>
    <row r="113" spans="1:13" ht="42" customHeight="1" x14ac:dyDescent="0.35">
      <c r="A113" s="42" t="str">
        <f t="array" ref="A113">IFERROR(INDEX('Agenda 2026'!A$2:A$376,MATCH(ROWS($A$7:$A113),'Agenda 2026'!$N$2:$N$376,0)),"")</f>
        <v/>
      </c>
      <c r="B113" s="43" t="str">
        <f t="array" ref="B113">IFERROR(INDEX('Agenda 2026'!P$2:P$376,MATCH(ROWS($A$7:$A113),'Agenda 2026'!$N$2:$N$376,0)),"")</f>
        <v/>
      </c>
      <c r="C113" s="44" t="str">
        <f t="array" ref="C113">IFERROR(INDEX('Agenda 2026'!B$2:B$376,MATCH(ROWS($A$7:$A113),'Agenda 2026'!$N$2:$N$376,0)),"")</f>
        <v/>
      </c>
      <c r="D113" s="44" t="str">
        <f t="array" ref="D113">IFERROR(INDEX('Agenda 2026'!C$2:C$376,MATCH(ROWS($A$7:$A113),'Agenda 2026'!$N$2:$N$376,0)),"")</f>
        <v/>
      </c>
      <c r="E113" s="44" t="str">
        <f t="array" ref="E113">IFERROR(INDEX('Agenda 2026'!D$2:D$376,MATCH(ROWS($A$7:$A113),'Agenda 2026'!$N$2:$N$376,0)),"")</f>
        <v/>
      </c>
      <c r="F113" s="45" t="str">
        <f t="array" ref="F113">IFERROR(INDEX('Agenda 2026'!E$2:E$376,MATCH(ROWS($A$7:$A113),'Agenda 2026'!$N$2:$N$376,0)),"")</f>
        <v/>
      </c>
      <c r="G113" s="44" t="str">
        <f t="array" ref="G113">IFERROR(INDEX('Agenda 2026'!F$2:F$376,MATCH(ROWS($A$7:$A113),'Agenda 2026'!$N$2:$N$376,0)),"")</f>
        <v/>
      </c>
      <c r="H113" s="44" t="str">
        <f t="array" ref="H113">IFERROR(INDEX('Agenda 2026'!G$2:G$376,MATCH(ROWS($A$7:$A113),'Agenda 2026'!$N$2:$N$376,0)),"")</f>
        <v/>
      </c>
      <c r="I113" s="46" t="str">
        <f t="array" ref="I113">IFERROR(INDEX('Agenda 2026'!H$2:H$376,MATCH(ROWS($A$7:$A113),'Agenda 2026'!$N$2:$N$376,0)),"")</f>
        <v/>
      </c>
      <c r="J113" s="47" t="s">
        <v>50</v>
      </c>
      <c r="K113" s="48" t="str">
        <f t="array" ref="K113">IFERROR(HYPERLINK(INDEX('Agenda 2026'!J$2:J$376,MATCH(ROWS($A$7:$A113),'Agenda 2026'!$N$2:$N$376,0)),"Ver fuente ↗"),"")</f>
        <v/>
      </c>
      <c r="L113" s="49" t="str">
        <f>IFERROR(INDEX('Agenda 2026'!K$2:K$376,MATCH(ROWS($A$7:$A113),'Agenda 2026'!$N$2:$N$376,0)),"")</f>
        <v/>
      </c>
      <c r="M113" s="50" t="str">
        <f t="array" ref="M113">IFERROR(INDEX('Agenda 2026'!O$2:O$376,MATCH(ROWS($A$7:$A113),'Agenda 2026'!$N$2:$N$376,0)),"")</f>
        <v/>
      </c>
    </row>
    <row r="114" spans="1:13" ht="42" customHeight="1" x14ac:dyDescent="0.35">
      <c r="A114" s="42" t="str">
        <f t="array" ref="A114">IFERROR(INDEX('Agenda 2026'!A$2:A$376,MATCH(ROWS($A$7:$A114),'Agenda 2026'!$N$2:$N$376,0)),"")</f>
        <v/>
      </c>
      <c r="B114" s="43" t="str">
        <f t="array" ref="B114">IFERROR(INDEX('Agenda 2026'!P$2:P$376,MATCH(ROWS($A$7:$A114),'Agenda 2026'!$N$2:$N$376,0)),"")</f>
        <v/>
      </c>
      <c r="C114" s="44" t="str">
        <f t="array" ref="C114">IFERROR(INDEX('Agenda 2026'!B$2:B$376,MATCH(ROWS($A$7:$A114),'Agenda 2026'!$N$2:$N$376,0)),"")</f>
        <v/>
      </c>
      <c r="D114" s="44" t="str">
        <f t="array" ref="D114">IFERROR(INDEX('Agenda 2026'!C$2:C$376,MATCH(ROWS($A$7:$A114),'Agenda 2026'!$N$2:$N$376,0)),"")</f>
        <v/>
      </c>
      <c r="E114" s="44" t="str">
        <f t="array" ref="E114">IFERROR(INDEX('Agenda 2026'!D$2:D$376,MATCH(ROWS($A$7:$A114),'Agenda 2026'!$N$2:$N$376,0)),"")</f>
        <v/>
      </c>
      <c r="F114" s="45" t="str">
        <f t="array" ref="F114">IFERROR(INDEX('Agenda 2026'!E$2:E$376,MATCH(ROWS($A$7:$A114),'Agenda 2026'!$N$2:$N$376,0)),"")</f>
        <v/>
      </c>
      <c r="G114" s="44" t="str">
        <f t="array" ref="G114">IFERROR(INDEX('Agenda 2026'!F$2:F$376,MATCH(ROWS($A$7:$A114),'Agenda 2026'!$N$2:$N$376,0)),"")</f>
        <v/>
      </c>
      <c r="H114" s="44" t="str">
        <f t="array" ref="H114">IFERROR(INDEX('Agenda 2026'!G$2:G$376,MATCH(ROWS($A$7:$A114),'Agenda 2026'!$N$2:$N$376,0)),"")</f>
        <v/>
      </c>
      <c r="I114" s="46" t="str">
        <f t="array" ref="I114">IFERROR(INDEX('Agenda 2026'!H$2:H$376,MATCH(ROWS($A$7:$A114),'Agenda 2026'!$N$2:$N$376,0)),"")</f>
        <v/>
      </c>
      <c r="J114" s="47" t="s">
        <v>50</v>
      </c>
      <c r="K114" s="48" t="str">
        <f t="array" ref="K114">IFERROR(HYPERLINK(INDEX('Agenda 2026'!J$2:J$376,MATCH(ROWS($A$7:$A114),'Agenda 2026'!$N$2:$N$376,0)),"Ver fuente ↗"),"")</f>
        <v/>
      </c>
      <c r="L114" s="49" t="str">
        <f>IFERROR(INDEX('Agenda 2026'!K$2:K$376,MATCH(ROWS($A$7:$A114),'Agenda 2026'!$N$2:$N$376,0)),"")</f>
        <v/>
      </c>
      <c r="M114" s="50" t="str">
        <f t="array" ref="M114">IFERROR(INDEX('Agenda 2026'!O$2:O$376,MATCH(ROWS($A$7:$A114),'Agenda 2026'!$N$2:$N$376,0)),"")</f>
        <v/>
      </c>
    </row>
    <row r="115" spans="1:13" ht="42" customHeight="1" x14ac:dyDescent="0.35">
      <c r="A115" s="42" t="str">
        <f t="array" ref="A115">IFERROR(INDEX('Agenda 2026'!A$2:A$376,MATCH(ROWS($A$7:$A115),'Agenda 2026'!$N$2:$N$376,0)),"")</f>
        <v/>
      </c>
      <c r="B115" s="43" t="str">
        <f t="array" ref="B115">IFERROR(INDEX('Agenda 2026'!P$2:P$376,MATCH(ROWS($A$7:$A115),'Agenda 2026'!$N$2:$N$376,0)),"")</f>
        <v/>
      </c>
      <c r="C115" s="44" t="str">
        <f t="array" ref="C115">IFERROR(INDEX('Agenda 2026'!B$2:B$376,MATCH(ROWS($A$7:$A115),'Agenda 2026'!$N$2:$N$376,0)),"")</f>
        <v/>
      </c>
      <c r="D115" s="44" t="str">
        <f t="array" ref="D115">IFERROR(INDEX('Agenda 2026'!C$2:C$376,MATCH(ROWS($A$7:$A115),'Agenda 2026'!$N$2:$N$376,0)),"")</f>
        <v/>
      </c>
      <c r="E115" s="44" t="str">
        <f t="array" ref="E115">IFERROR(INDEX('Agenda 2026'!D$2:D$376,MATCH(ROWS($A$7:$A115),'Agenda 2026'!$N$2:$N$376,0)),"")</f>
        <v/>
      </c>
      <c r="F115" s="45" t="str">
        <f t="array" ref="F115">IFERROR(INDEX('Agenda 2026'!E$2:E$376,MATCH(ROWS($A$7:$A115),'Agenda 2026'!$N$2:$N$376,0)),"")</f>
        <v/>
      </c>
      <c r="G115" s="44" t="str">
        <f t="array" ref="G115">IFERROR(INDEX('Agenda 2026'!F$2:F$376,MATCH(ROWS($A$7:$A115),'Agenda 2026'!$N$2:$N$376,0)),"")</f>
        <v/>
      </c>
      <c r="H115" s="44" t="str">
        <f t="array" ref="H115">IFERROR(INDEX('Agenda 2026'!G$2:G$376,MATCH(ROWS($A$7:$A115),'Agenda 2026'!$N$2:$N$376,0)),"")</f>
        <v/>
      </c>
      <c r="I115" s="46" t="str">
        <f t="array" ref="I115">IFERROR(INDEX('Agenda 2026'!H$2:H$376,MATCH(ROWS($A$7:$A115),'Agenda 2026'!$N$2:$N$376,0)),"")</f>
        <v/>
      </c>
      <c r="J115" s="47" t="s">
        <v>50</v>
      </c>
      <c r="K115" s="48" t="str">
        <f t="array" ref="K115">IFERROR(HYPERLINK(INDEX('Agenda 2026'!J$2:J$376,MATCH(ROWS($A$7:$A115),'Agenda 2026'!$N$2:$N$376,0)),"Ver fuente ↗"),"")</f>
        <v/>
      </c>
      <c r="L115" s="49" t="str">
        <f t="array" ref="L115">IFERROR(INDEX('Agenda 2026'!K$2:K$376,MATCH(ROWS($A$7:$A115),'Agenda 2026'!$N$2:$N$376,0)),"")</f>
        <v/>
      </c>
      <c r="M115" s="50" t="str">
        <f t="array" ref="M115">IFERROR(INDEX('Agenda 2026'!O$2:O$376,MATCH(ROWS($A$7:$A115),'Agenda 2026'!$N$2:$N$376,0)),"")</f>
        <v/>
      </c>
    </row>
    <row r="116" spans="1:13" ht="42" customHeight="1" x14ac:dyDescent="0.35">
      <c r="A116" s="42" t="str">
        <f t="array" ref="A116">IFERROR(INDEX('Agenda 2026'!A$2:A$376,MATCH(ROWS($A$7:$A116),'Agenda 2026'!$N$2:$N$376,0)),"")</f>
        <v/>
      </c>
      <c r="B116" s="43" t="str">
        <f t="array" ref="B116">IFERROR(INDEX('Agenda 2026'!P$2:P$376,MATCH(ROWS($A$7:$A116),'Agenda 2026'!$N$2:$N$376,0)),"")</f>
        <v/>
      </c>
      <c r="C116" s="44" t="str">
        <f t="array" ref="C116">IFERROR(INDEX('Agenda 2026'!B$2:B$376,MATCH(ROWS($A$7:$A116),'Agenda 2026'!$N$2:$N$376,0)),"")</f>
        <v/>
      </c>
      <c r="D116" s="44" t="str">
        <f t="array" ref="D116">IFERROR(INDEX('Agenda 2026'!C$2:C$376,MATCH(ROWS($A$7:$A116),'Agenda 2026'!$N$2:$N$376,0)),"")</f>
        <v/>
      </c>
      <c r="E116" s="44" t="str">
        <f t="array" ref="E116">IFERROR(INDEX('Agenda 2026'!D$2:D$376,MATCH(ROWS($A$7:$A116),'Agenda 2026'!$N$2:$N$376,0)),"")</f>
        <v/>
      </c>
      <c r="F116" s="45" t="str">
        <f t="array" ref="F116">IFERROR(INDEX('Agenda 2026'!E$2:E$376,MATCH(ROWS($A$7:$A116),'Agenda 2026'!$N$2:$N$376,0)),"")</f>
        <v/>
      </c>
      <c r="G116" s="44" t="str">
        <f t="array" ref="G116">IFERROR(INDEX('Agenda 2026'!F$2:F$376,MATCH(ROWS($A$7:$A116),'Agenda 2026'!$N$2:$N$376,0)),"")</f>
        <v/>
      </c>
      <c r="H116" s="44" t="str">
        <f t="array" ref="H116">IFERROR(INDEX('Agenda 2026'!G$2:G$376,MATCH(ROWS($A$7:$A116),'Agenda 2026'!$N$2:$N$376,0)),"")</f>
        <v/>
      </c>
      <c r="I116" s="46" t="str">
        <f t="array" ref="I116">IFERROR(INDEX('Agenda 2026'!H$2:H$376,MATCH(ROWS($A$7:$A116),'Agenda 2026'!$N$2:$N$376,0)),"")</f>
        <v/>
      </c>
      <c r="J116" s="47" t="s">
        <v>50</v>
      </c>
      <c r="K116" s="48" t="str">
        <f t="array" ref="K116">IFERROR(HYPERLINK(INDEX('Agenda 2026'!J$2:J$376,MATCH(ROWS($A$7:$A116),'Agenda 2026'!$N$2:$N$376,0)),"Ver fuente ↗"),"")</f>
        <v/>
      </c>
      <c r="L116" s="49" t="str">
        <f t="array" ref="L116">IFERROR(INDEX('Agenda 2026'!K$2:K$376,MATCH(ROWS($A$7:$A116),'Agenda 2026'!$N$2:$N$376,0)),"")</f>
        <v/>
      </c>
      <c r="M116" s="50" t="str">
        <f t="array" ref="M116">IFERROR(INDEX('Agenda 2026'!O$2:O$376,MATCH(ROWS($A$7:$A116),'Agenda 2026'!$N$2:$N$376,0)),"")</f>
        <v/>
      </c>
    </row>
    <row r="117" spans="1:13" ht="42" customHeight="1" x14ac:dyDescent="0.35">
      <c r="A117" s="42" t="str">
        <f t="array" ref="A117">IFERROR(INDEX('Agenda 2026'!A$2:A$376,MATCH(ROWS($A$7:$A117),'Agenda 2026'!$N$2:$N$376,0)),"")</f>
        <v/>
      </c>
      <c r="B117" s="43" t="str">
        <f t="array" ref="B117">IFERROR(INDEX('Agenda 2026'!P$2:P$376,MATCH(ROWS($A$7:$A117),'Agenda 2026'!$N$2:$N$376,0)),"")</f>
        <v/>
      </c>
      <c r="C117" s="44" t="str">
        <f t="array" ref="C117">IFERROR(INDEX('Agenda 2026'!B$2:B$376,MATCH(ROWS($A$7:$A117),'Agenda 2026'!$N$2:$N$376,0)),"")</f>
        <v/>
      </c>
      <c r="D117" s="44" t="str">
        <f t="array" ref="D117">IFERROR(INDEX('Agenda 2026'!C$2:C$376,MATCH(ROWS($A$7:$A117),'Agenda 2026'!$N$2:$N$376,0)),"")</f>
        <v/>
      </c>
      <c r="E117" s="44" t="str">
        <f t="array" ref="E117">IFERROR(INDEX('Agenda 2026'!D$2:D$376,MATCH(ROWS($A$7:$A117),'Agenda 2026'!$N$2:$N$376,0)),"")</f>
        <v/>
      </c>
      <c r="F117" s="45" t="str">
        <f t="array" ref="F117">IFERROR(INDEX('Agenda 2026'!E$2:E$376,MATCH(ROWS($A$7:$A117),'Agenda 2026'!$N$2:$N$376,0)),"")</f>
        <v/>
      </c>
      <c r="G117" s="44" t="str">
        <f t="array" ref="G117">IFERROR(INDEX('Agenda 2026'!F$2:F$376,MATCH(ROWS($A$7:$A117),'Agenda 2026'!$N$2:$N$376,0)),"")</f>
        <v/>
      </c>
      <c r="H117" s="44" t="str">
        <f t="array" ref="H117">IFERROR(INDEX('Agenda 2026'!G$2:G$376,MATCH(ROWS($A$7:$A117),'Agenda 2026'!$N$2:$N$376,0)),"")</f>
        <v/>
      </c>
      <c r="I117" s="46" t="str">
        <f t="array" ref="I117">IFERROR(INDEX('Agenda 2026'!H$2:H$376,MATCH(ROWS($A$7:$A117),'Agenda 2026'!$N$2:$N$376,0)),"")</f>
        <v/>
      </c>
      <c r="J117" s="47"/>
      <c r="K117" s="48" t="str">
        <f t="array" ref="K117">IFERROR(HYPERLINK(INDEX('Agenda 2026'!J$2:J$376,MATCH(ROWS($A$7:$A117),'Agenda 2026'!$N$2:$N$376,0)),"Ver fuente ↗"),"")</f>
        <v/>
      </c>
      <c r="L117" s="49" t="str">
        <f>IFERROR(INDEX('Agenda 2026'!K$2:K$376,MATCH(ROWS($A$7:$A117),'Agenda 2026'!$N$2:$N$376,0)),"")</f>
        <v/>
      </c>
      <c r="M117" s="50" t="str">
        <f t="array" ref="M117">IFERROR(INDEX('Agenda 2026'!O$2:O$376,MATCH(ROWS($A$7:$A117),'Agenda 2026'!$N$2:$N$376,0)),"")</f>
        <v/>
      </c>
    </row>
    <row r="118" spans="1:13" ht="42" customHeight="1" x14ac:dyDescent="0.35">
      <c r="A118" s="42" t="str">
        <f t="array" ref="A118">IFERROR(INDEX('Agenda 2026'!A$2:A$376,MATCH(ROWS($A$7:$A118),'Agenda 2026'!$N$2:$N$376,0)),"")</f>
        <v/>
      </c>
      <c r="B118" s="43" t="str">
        <f t="array" ref="B118">IFERROR(INDEX('Agenda 2026'!P$2:P$376,MATCH(ROWS($A$7:$A118),'Agenda 2026'!$N$2:$N$376,0)),"")</f>
        <v/>
      </c>
      <c r="C118" s="44" t="str">
        <f t="array" ref="C118">IFERROR(INDEX('Agenda 2026'!B$2:B$376,MATCH(ROWS($A$7:$A118),'Agenda 2026'!$N$2:$N$376,0)),"")</f>
        <v/>
      </c>
      <c r="D118" s="44" t="str">
        <f t="array" ref="D118">IFERROR(INDEX('Agenda 2026'!C$2:C$376,MATCH(ROWS($A$7:$A118),'Agenda 2026'!$N$2:$N$376,0)),"")</f>
        <v/>
      </c>
      <c r="E118" s="44" t="str">
        <f t="array" ref="E118">IFERROR(INDEX('Agenda 2026'!D$2:D$376,MATCH(ROWS($A$7:$A118),'Agenda 2026'!$N$2:$N$376,0)),"")</f>
        <v/>
      </c>
      <c r="F118" s="45" t="str">
        <f t="array" ref="F118">IFERROR(INDEX('Agenda 2026'!E$2:E$376,MATCH(ROWS($A$7:$A118),'Agenda 2026'!$N$2:$N$376,0)),"")</f>
        <v/>
      </c>
      <c r="G118" s="44" t="str">
        <f t="array" ref="G118">IFERROR(INDEX('Agenda 2026'!F$2:F$376,MATCH(ROWS($A$7:$A118),'Agenda 2026'!$N$2:$N$376,0)),"")</f>
        <v/>
      </c>
      <c r="H118" s="44" t="str">
        <f t="array" ref="H118">IFERROR(INDEX('Agenda 2026'!G$2:G$376,MATCH(ROWS($A$7:$A118),'Agenda 2026'!$N$2:$N$376,0)),"")</f>
        <v/>
      </c>
      <c r="I118" s="46" t="str">
        <f t="array" ref="I118">IFERROR(INDEX('Agenda 2026'!H$2:H$376,MATCH(ROWS($A$7:$A118),'Agenda 2026'!$N$2:$N$376,0)),"")</f>
        <v/>
      </c>
      <c r="J118" s="47"/>
      <c r="K118" s="48" t="str">
        <f t="array" ref="K118">IFERROR(HYPERLINK(INDEX('Agenda 2026'!J$2:J$376,MATCH(ROWS($A$7:$A118),'Agenda 2026'!$N$2:$N$376,0)),"Ver fuente ↗"),"")</f>
        <v/>
      </c>
      <c r="L118" s="49" t="str">
        <f>IFERROR(INDEX('Agenda 2026'!K$2:K$376,MATCH(ROWS($A$7:$A118),'Agenda 2026'!$N$2:$N$376,0)),"")</f>
        <v/>
      </c>
      <c r="M118" s="50" t="str">
        <f t="array" ref="M118">IFERROR(INDEX('Agenda 2026'!O$2:O$376,MATCH(ROWS($A$7:$A118),'Agenda 2026'!$N$2:$N$376,0)),"")</f>
        <v/>
      </c>
    </row>
    <row r="119" spans="1:13" ht="42" customHeight="1" x14ac:dyDescent="0.35">
      <c r="A119" s="42" t="str">
        <f t="array" ref="A119">IFERROR(INDEX('Agenda 2026'!A$2:A$376,MATCH(ROWS($A$7:$A119),'Agenda 2026'!$N$2:$N$376,0)),"")</f>
        <v/>
      </c>
      <c r="B119" s="43" t="str">
        <f t="array" ref="B119">IFERROR(INDEX('Agenda 2026'!P$2:P$376,MATCH(ROWS($A$7:$A119),'Agenda 2026'!$N$2:$N$376,0)),"")</f>
        <v/>
      </c>
      <c r="C119" s="44" t="str">
        <f t="array" ref="C119">IFERROR(INDEX('Agenda 2026'!B$2:B$376,MATCH(ROWS($A$7:$A119),'Agenda 2026'!$N$2:$N$376,0)),"")</f>
        <v/>
      </c>
      <c r="D119" s="44" t="str">
        <f t="array" ref="D119">IFERROR(INDEX('Agenda 2026'!C$2:C$376,MATCH(ROWS($A$7:$A119),'Agenda 2026'!$N$2:$N$376,0)),"")</f>
        <v/>
      </c>
      <c r="E119" s="44" t="str">
        <f t="array" ref="E119">IFERROR(INDEX('Agenda 2026'!D$2:D$376,MATCH(ROWS($A$7:$A119),'Agenda 2026'!$N$2:$N$376,0)),"")</f>
        <v/>
      </c>
      <c r="F119" s="45" t="str">
        <f t="array" ref="F119">IFERROR(INDEX('Agenda 2026'!E$2:E$376,MATCH(ROWS($A$7:$A119),'Agenda 2026'!$N$2:$N$376,0)),"")</f>
        <v/>
      </c>
      <c r="G119" s="44" t="str">
        <f t="array" ref="G119">IFERROR(INDEX('Agenda 2026'!F$2:F$376,MATCH(ROWS($A$7:$A119),'Agenda 2026'!$N$2:$N$376,0)),"")</f>
        <v/>
      </c>
      <c r="H119" s="44" t="str">
        <f t="array" ref="H119">IFERROR(INDEX('Agenda 2026'!G$2:G$376,MATCH(ROWS($A$7:$A119),'Agenda 2026'!$N$2:$N$376,0)),"")</f>
        <v/>
      </c>
      <c r="I119" s="46" t="str">
        <f t="array" ref="I119">IFERROR(INDEX('Agenda 2026'!H$2:H$376,MATCH(ROWS($A$7:$A119),'Agenda 2026'!$N$2:$N$376,0)),"")</f>
        <v/>
      </c>
      <c r="J119" s="47"/>
      <c r="K119" s="48" t="str">
        <f t="array" ref="K119">IFERROR(HYPERLINK(INDEX('Agenda 2026'!J$2:J$376,MATCH(ROWS($A$7:$A119),'Agenda 2026'!$N$2:$N$376,0)),"Ver fuente ↗"),"")</f>
        <v/>
      </c>
      <c r="L119" s="49" t="str">
        <f t="array" ref="L119">IFERROR(INDEX('Agenda 2026'!K$2:K$376,MATCH(ROWS($A$7:$A119),'Agenda 2026'!$N$2:$N$376,0)),"")</f>
        <v/>
      </c>
      <c r="M119" s="50" t="str">
        <f t="array" ref="M119">IFERROR(INDEX('Agenda 2026'!O$2:O$376,MATCH(ROWS($A$7:$A119),'Agenda 2026'!$N$2:$N$376,0)),"")</f>
        <v/>
      </c>
    </row>
    <row r="120" spans="1:13" ht="42" customHeight="1" x14ac:dyDescent="0.35">
      <c r="A120" s="42" t="str">
        <f t="array" ref="A120">IFERROR(INDEX('Agenda 2026'!A$2:A$376,MATCH(ROWS($A$7:$A120),'Agenda 2026'!$N$2:$N$376,0)),"")</f>
        <v/>
      </c>
      <c r="B120" s="43" t="str">
        <f t="array" ref="B120">IFERROR(INDEX('Agenda 2026'!P$2:P$376,MATCH(ROWS($A$7:$A120),'Agenda 2026'!$N$2:$N$376,0)),"")</f>
        <v/>
      </c>
      <c r="C120" s="44" t="str">
        <f t="array" ref="C120">IFERROR(INDEX('Agenda 2026'!B$2:B$376,MATCH(ROWS($A$7:$A120),'Agenda 2026'!$N$2:$N$376,0)),"")</f>
        <v/>
      </c>
      <c r="D120" s="44" t="str">
        <f t="array" ref="D120">IFERROR(INDEX('Agenda 2026'!C$2:C$376,MATCH(ROWS($A$7:$A120),'Agenda 2026'!$N$2:$N$376,0)),"")</f>
        <v/>
      </c>
      <c r="E120" s="44" t="str">
        <f t="array" ref="E120">IFERROR(INDEX('Agenda 2026'!D$2:D$376,MATCH(ROWS($A$7:$A120),'Agenda 2026'!$N$2:$N$376,0)),"")</f>
        <v/>
      </c>
      <c r="F120" s="45" t="str">
        <f t="array" ref="F120">IFERROR(INDEX('Agenda 2026'!E$2:E$376,MATCH(ROWS($A$7:$A120),'Agenda 2026'!$N$2:$N$376,0)),"")</f>
        <v/>
      </c>
      <c r="G120" s="44" t="str">
        <f t="array" ref="G120">IFERROR(INDEX('Agenda 2026'!F$2:F$376,MATCH(ROWS($A$7:$A120),'Agenda 2026'!$N$2:$N$376,0)),"")</f>
        <v/>
      </c>
      <c r="H120" s="44" t="str">
        <f t="array" ref="H120">IFERROR(INDEX('Agenda 2026'!G$2:G$376,MATCH(ROWS($A$7:$A120),'Agenda 2026'!$N$2:$N$376,0)),"")</f>
        <v/>
      </c>
      <c r="I120" s="46" t="str">
        <f t="array" ref="I120">IFERROR(INDEX('Agenda 2026'!H$2:H$376,MATCH(ROWS($A$7:$A120),'Agenda 2026'!$N$2:$N$376,0)),"")</f>
        <v/>
      </c>
      <c r="J120" s="47"/>
      <c r="K120" s="48" t="str">
        <f t="array" ref="K120">IFERROR(HYPERLINK(INDEX('Agenda 2026'!J$2:J$376,MATCH(ROWS($A$7:$A120),'Agenda 2026'!$N$2:$N$376,0)),"Ver fuente ↗"),"")</f>
        <v/>
      </c>
      <c r="L120" s="49" t="str">
        <f t="array" ref="L120">IFERROR(INDEX('Agenda 2026'!K$2:K$376,MATCH(ROWS($A$7:$A120),'Agenda 2026'!$N$2:$N$376,0)),"")</f>
        <v/>
      </c>
      <c r="M120" s="50" t="str">
        <f t="array" ref="M120">IFERROR(INDEX('Agenda 2026'!O$2:O$376,MATCH(ROWS($A$7:$A120),'Agenda 2026'!$N$2:$N$376,0)),"")</f>
        <v/>
      </c>
    </row>
    <row r="121" spans="1:13" ht="42" customHeight="1" x14ac:dyDescent="0.35">
      <c r="A121" s="42" t="str">
        <f t="array" ref="A121">IFERROR(INDEX('Agenda 2026'!A$2:A$376,MATCH(ROWS($A$7:$A121),'Agenda 2026'!$N$2:$N$376,0)),"")</f>
        <v/>
      </c>
      <c r="B121" s="43" t="str">
        <f t="array" ref="B121">IFERROR(INDEX('Agenda 2026'!P$2:P$376,MATCH(ROWS($A$7:$A121),'Agenda 2026'!$N$2:$N$376,0)),"")</f>
        <v/>
      </c>
      <c r="C121" s="44" t="str">
        <f t="array" ref="C121">IFERROR(INDEX('Agenda 2026'!B$2:B$376,MATCH(ROWS($A$7:$A121),'Agenda 2026'!$N$2:$N$376,0)),"")</f>
        <v/>
      </c>
      <c r="D121" s="44" t="str">
        <f t="array" ref="D121">IFERROR(INDEX('Agenda 2026'!C$2:C$376,MATCH(ROWS($A$7:$A121),'Agenda 2026'!$N$2:$N$376,0)),"")</f>
        <v/>
      </c>
      <c r="E121" s="44" t="str">
        <f t="array" ref="E121">IFERROR(INDEX('Agenda 2026'!D$2:D$376,MATCH(ROWS($A$7:$A121),'Agenda 2026'!$N$2:$N$376,0)),"")</f>
        <v/>
      </c>
      <c r="F121" s="45" t="str">
        <f t="array" ref="F121">IFERROR(INDEX('Agenda 2026'!E$2:E$376,MATCH(ROWS($A$7:$A121),'Agenda 2026'!$N$2:$N$376,0)),"")</f>
        <v/>
      </c>
      <c r="G121" s="44" t="str">
        <f t="array" ref="G121">IFERROR(INDEX('Agenda 2026'!F$2:F$376,MATCH(ROWS($A$7:$A121),'Agenda 2026'!$N$2:$N$376,0)),"")</f>
        <v/>
      </c>
      <c r="H121" s="44" t="str">
        <f t="array" ref="H121">IFERROR(INDEX('Agenda 2026'!G$2:G$376,MATCH(ROWS($A$7:$A121),'Agenda 2026'!$N$2:$N$376,0)),"")</f>
        <v/>
      </c>
      <c r="I121" s="46" t="str">
        <f t="array" ref="I121">IFERROR(INDEX('Agenda 2026'!H$2:H$376,MATCH(ROWS($A$7:$A121),'Agenda 2026'!$N$2:$N$376,0)),"")</f>
        <v/>
      </c>
      <c r="J121" s="47"/>
      <c r="K121" s="48" t="str">
        <f t="array" ref="K121">IFERROR(HYPERLINK(INDEX('Agenda 2026'!J$2:J$376,MATCH(ROWS($A$7:$A121),'Agenda 2026'!$N$2:$N$376,0)),"Ver fuente ↗"),"")</f>
        <v/>
      </c>
      <c r="L121" s="49" t="str">
        <f>IFERROR(INDEX('Agenda 2026'!K$2:K$376,MATCH(ROWS($A$7:$A121),'Agenda 2026'!$N$2:$N$376,0)),"")</f>
        <v/>
      </c>
      <c r="M121" s="50" t="str">
        <f t="array" ref="M121">IFERROR(INDEX('Agenda 2026'!O$2:O$376,MATCH(ROWS($A$7:$A121),'Agenda 2026'!$N$2:$N$376,0)),"")</f>
        <v/>
      </c>
    </row>
    <row r="122" spans="1:13" ht="42" customHeight="1" x14ac:dyDescent="0.35">
      <c r="A122" s="42" t="str">
        <f t="array" ref="A122">IFERROR(INDEX('Agenda 2026'!A$2:A$376,MATCH(ROWS($A$7:$A122),'Agenda 2026'!$N$2:$N$376,0)),"")</f>
        <v/>
      </c>
      <c r="B122" s="43" t="str">
        <f t="array" ref="B122">IFERROR(INDEX('Agenda 2026'!P$2:P$376,MATCH(ROWS($A$7:$A122),'Agenda 2026'!$N$2:$N$376,0)),"")</f>
        <v/>
      </c>
      <c r="C122" s="44" t="str">
        <f t="array" ref="C122">IFERROR(INDEX('Agenda 2026'!B$2:B$376,MATCH(ROWS($A$7:$A122),'Agenda 2026'!$N$2:$N$376,0)),"")</f>
        <v/>
      </c>
      <c r="D122" s="44" t="str">
        <f t="array" ref="D122">IFERROR(INDEX('Agenda 2026'!C$2:C$376,MATCH(ROWS($A$7:$A122),'Agenda 2026'!$N$2:$N$376,0)),"")</f>
        <v/>
      </c>
      <c r="E122" s="44" t="str">
        <f t="array" ref="E122">IFERROR(INDEX('Agenda 2026'!D$2:D$376,MATCH(ROWS($A$7:$A122),'Agenda 2026'!$N$2:$N$376,0)),"")</f>
        <v/>
      </c>
      <c r="F122" s="45" t="str">
        <f t="array" ref="F122">IFERROR(INDEX('Agenda 2026'!E$2:E$376,MATCH(ROWS($A$7:$A122),'Agenda 2026'!$N$2:$N$376,0)),"")</f>
        <v/>
      </c>
      <c r="G122" s="44" t="str">
        <f t="array" ref="G122">IFERROR(INDEX('Agenda 2026'!F$2:F$376,MATCH(ROWS($A$7:$A122),'Agenda 2026'!$N$2:$N$376,0)),"")</f>
        <v/>
      </c>
      <c r="H122" s="44" t="str">
        <f t="array" ref="H122">IFERROR(INDEX('Agenda 2026'!G$2:G$376,MATCH(ROWS($A$7:$A122),'Agenda 2026'!$N$2:$N$376,0)),"")</f>
        <v/>
      </c>
      <c r="I122" s="46" t="str">
        <f t="array" ref="I122">IFERROR(INDEX('Agenda 2026'!H$2:H$376,MATCH(ROWS($A$7:$A122),'Agenda 2026'!$N$2:$N$376,0)),"")</f>
        <v/>
      </c>
      <c r="J122" s="47"/>
      <c r="K122" s="48" t="str">
        <f t="array" ref="K122">IFERROR(HYPERLINK(INDEX('Agenda 2026'!J$2:J$376,MATCH(ROWS($A$7:$A122),'Agenda 2026'!$N$2:$N$376,0)),"Ver fuente ↗"),"")</f>
        <v/>
      </c>
      <c r="L122" s="49" t="str">
        <f>IFERROR(INDEX('Agenda 2026'!K$2:K$376,MATCH(ROWS($A$7:$A122),'Agenda 2026'!$N$2:$N$376,0)),"")</f>
        <v/>
      </c>
      <c r="M122" s="50" t="str">
        <f t="array" ref="M122">IFERROR(INDEX('Agenda 2026'!O$2:O$376,MATCH(ROWS($A$7:$A122),'Agenda 2026'!$N$2:$N$376,0)),"")</f>
        <v/>
      </c>
    </row>
    <row r="123" spans="1:13" ht="42" customHeight="1" x14ac:dyDescent="0.35">
      <c r="A123" s="42" t="str">
        <f t="array" ref="A123">IFERROR(INDEX('Agenda 2026'!A$2:A$376,MATCH(ROWS($A$7:$A123),'Agenda 2026'!$N$2:$N$376,0)),"")</f>
        <v/>
      </c>
      <c r="B123" s="43" t="str">
        <f t="array" ref="B123">IFERROR(INDEX('Agenda 2026'!P$2:P$376,MATCH(ROWS($A$7:$A123),'Agenda 2026'!$N$2:$N$376,0)),"")</f>
        <v/>
      </c>
      <c r="C123" s="44" t="str">
        <f t="array" ref="C123">IFERROR(INDEX('Agenda 2026'!B$2:B$376,MATCH(ROWS($A$7:$A123),'Agenda 2026'!$N$2:$N$376,0)),"")</f>
        <v/>
      </c>
      <c r="D123" s="44" t="str">
        <f t="array" ref="D123">IFERROR(INDEX('Agenda 2026'!C$2:C$376,MATCH(ROWS($A$7:$A123),'Agenda 2026'!$N$2:$N$376,0)),"")</f>
        <v/>
      </c>
      <c r="E123" s="44" t="str">
        <f t="array" ref="E123">IFERROR(INDEX('Agenda 2026'!D$2:D$376,MATCH(ROWS($A$7:$A123),'Agenda 2026'!$N$2:$N$376,0)),"")</f>
        <v/>
      </c>
      <c r="F123" s="45" t="str">
        <f t="array" ref="F123">IFERROR(INDEX('Agenda 2026'!E$2:E$376,MATCH(ROWS($A$7:$A123),'Agenda 2026'!$N$2:$N$376,0)),"")</f>
        <v/>
      </c>
      <c r="G123" s="44" t="str">
        <f t="array" ref="G123">IFERROR(INDEX('Agenda 2026'!F$2:F$376,MATCH(ROWS($A$7:$A123),'Agenda 2026'!$N$2:$N$376,0)),"")</f>
        <v/>
      </c>
      <c r="H123" s="44" t="str">
        <f t="array" ref="H123">IFERROR(INDEX('Agenda 2026'!G$2:G$376,MATCH(ROWS($A$7:$A123),'Agenda 2026'!$N$2:$N$376,0)),"")</f>
        <v/>
      </c>
      <c r="I123" s="46" t="str">
        <f t="array" ref="I123">IFERROR(INDEX('Agenda 2026'!H$2:H$376,MATCH(ROWS($A$7:$A123),'Agenda 2026'!$N$2:$N$376,0)),"")</f>
        <v/>
      </c>
      <c r="J123" s="47"/>
      <c r="K123" s="48" t="str">
        <f t="array" ref="K123">IFERROR(HYPERLINK(INDEX('Agenda 2026'!J$2:J$376,MATCH(ROWS($A$7:$A123),'Agenda 2026'!$N$2:$N$376,0)),"Ver fuente ↗"),"")</f>
        <v/>
      </c>
      <c r="L123" s="49" t="str">
        <f>IFERROR(INDEX('Agenda 2026'!K$2:K$376,MATCH(ROWS($A$7:$A123),'Agenda 2026'!$N$2:$N$376,0)),"")</f>
        <v/>
      </c>
      <c r="M123" s="50" t="str">
        <f t="array" ref="M123">IFERROR(INDEX('Agenda 2026'!O$2:O$376,MATCH(ROWS($A$7:$A123),'Agenda 2026'!$N$2:$N$376,0)),"")</f>
        <v/>
      </c>
    </row>
    <row r="124" spans="1:13" ht="42" customHeight="1" x14ac:dyDescent="0.35">
      <c r="A124" s="42" t="str">
        <f t="array" ref="A124">IFERROR(INDEX('Agenda 2026'!A$2:A$376,MATCH(ROWS($A$7:$A124),'Agenda 2026'!$N$2:$N$376,0)),"")</f>
        <v/>
      </c>
      <c r="B124" s="43" t="str">
        <f t="array" ref="B124">IFERROR(INDEX('Agenda 2026'!P$2:P$376,MATCH(ROWS($A$7:$A124),'Agenda 2026'!$N$2:$N$376,0)),"")</f>
        <v/>
      </c>
      <c r="C124" s="44" t="str">
        <f t="array" ref="C124">IFERROR(INDEX('Agenda 2026'!B$2:B$376,MATCH(ROWS($A$7:$A124),'Agenda 2026'!$N$2:$N$376,0)),"")</f>
        <v/>
      </c>
      <c r="D124" s="44" t="str">
        <f t="array" ref="D124">IFERROR(INDEX('Agenda 2026'!C$2:C$376,MATCH(ROWS($A$7:$A124),'Agenda 2026'!$N$2:$N$376,0)),"")</f>
        <v/>
      </c>
      <c r="E124" s="44" t="str">
        <f t="array" ref="E124">IFERROR(INDEX('Agenda 2026'!D$2:D$376,MATCH(ROWS($A$7:$A124),'Agenda 2026'!$N$2:$N$376,0)),"")</f>
        <v/>
      </c>
      <c r="F124" s="45" t="str">
        <f t="array" ref="F124">IFERROR(INDEX('Agenda 2026'!E$2:E$376,MATCH(ROWS($A$7:$A124),'Agenda 2026'!$N$2:$N$376,0)),"")</f>
        <v/>
      </c>
      <c r="G124" s="44" t="str">
        <f t="array" ref="G124">IFERROR(INDEX('Agenda 2026'!F$2:F$376,MATCH(ROWS($A$7:$A124),'Agenda 2026'!$N$2:$N$376,0)),"")</f>
        <v/>
      </c>
      <c r="H124" s="44" t="str">
        <f t="array" ref="H124">IFERROR(INDEX('Agenda 2026'!G$2:G$376,MATCH(ROWS($A$7:$A124),'Agenda 2026'!$N$2:$N$376,0)),"")</f>
        <v/>
      </c>
      <c r="I124" s="46" t="str">
        <f t="array" ref="I124">IFERROR(INDEX('Agenda 2026'!H$2:H$376,MATCH(ROWS($A$7:$A124),'Agenda 2026'!$N$2:$N$376,0)),"")</f>
        <v/>
      </c>
      <c r="J124" s="47"/>
      <c r="K124" s="48" t="str">
        <f t="array" ref="K124">IFERROR(HYPERLINK(INDEX('Agenda 2026'!J$2:J$376,MATCH(ROWS($A$7:$A124),'Agenda 2026'!$N$2:$N$376,0)),"Ver fuente ↗"),"")</f>
        <v/>
      </c>
      <c r="L124" s="49" t="str">
        <f>IFERROR(INDEX('Agenda 2026'!K$2:K$376,MATCH(ROWS($A$7:$A124),'Agenda 2026'!$N$2:$N$376,0)),"")</f>
        <v/>
      </c>
      <c r="M124" s="50" t="str">
        <f t="array" ref="M124">IFERROR(INDEX('Agenda 2026'!O$2:O$376,MATCH(ROWS($A$7:$A124),'Agenda 2026'!$N$2:$N$376,0)),"")</f>
        <v/>
      </c>
    </row>
    <row r="125" spans="1:13" ht="42" customHeight="1" x14ac:dyDescent="0.35">
      <c r="A125" s="42" t="str">
        <f t="array" ref="A125">IFERROR(INDEX('Agenda 2026'!A$2:A$376,MATCH(ROWS($A$7:$A125),'Agenda 2026'!$N$2:$N$376,0)),"")</f>
        <v/>
      </c>
      <c r="B125" s="43" t="str">
        <f t="array" ref="B125">IFERROR(INDEX('Agenda 2026'!P$2:P$376,MATCH(ROWS($A$7:$A125),'Agenda 2026'!$N$2:$N$376,0)),"")</f>
        <v/>
      </c>
      <c r="C125" s="44" t="str">
        <f t="array" ref="C125">IFERROR(INDEX('Agenda 2026'!B$2:B$376,MATCH(ROWS($A$7:$A125),'Agenda 2026'!$N$2:$N$376,0)),"")</f>
        <v/>
      </c>
      <c r="D125" s="44" t="str">
        <f t="array" ref="D125">IFERROR(INDEX('Agenda 2026'!C$2:C$376,MATCH(ROWS($A$7:$A125),'Agenda 2026'!$N$2:$N$376,0)),"")</f>
        <v/>
      </c>
      <c r="E125" s="44" t="str">
        <f t="array" ref="E125">IFERROR(INDEX('Agenda 2026'!D$2:D$376,MATCH(ROWS($A$7:$A125),'Agenda 2026'!$N$2:$N$376,0)),"")</f>
        <v/>
      </c>
      <c r="F125" s="45" t="str">
        <f t="array" ref="F125">IFERROR(INDEX('Agenda 2026'!E$2:E$376,MATCH(ROWS($A$7:$A125),'Agenda 2026'!$N$2:$N$376,0)),"")</f>
        <v/>
      </c>
      <c r="G125" s="44" t="str">
        <f t="array" ref="G125">IFERROR(INDEX('Agenda 2026'!F$2:F$376,MATCH(ROWS($A$7:$A125),'Agenda 2026'!$N$2:$N$376,0)),"")</f>
        <v/>
      </c>
      <c r="H125" s="44" t="str">
        <f t="array" ref="H125">IFERROR(INDEX('Agenda 2026'!G$2:G$376,MATCH(ROWS($A$7:$A125),'Agenda 2026'!$N$2:$N$376,0)),"")</f>
        <v/>
      </c>
      <c r="I125" s="46" t="str">
        <f t="array" ref="I125">IFERROR(INDEX('Agenda 2026'!H$2:H$376,MATCH(ROWS($A$7:$A125),'Agenda 2026'!$N$2:$N$376,0)),"")</f>
        <v/>
      </c>
      <c r="J125" s="47"/>
      <c r="K125" s="48" t="str">
        <f t="array" ref="K125">IFERROR(HYPERLINK(INDEX('Agenda 2026'!J$2:J$376,MATCH(ROWS($A$7:$A125),'Agenda 2026'!$N$2:$N$376,0)),"Ver fuente ↗"),"")</f>
        <v/>
      </c>
      <c r="L125" s="49" t="str">
        <f>IFERROR(INDEX('Agenda 2026'!K$2:K$376,MATCH(ROWS($A$7:$A125),'Agenda 2026'!$N$2:$N$376,0)),"")</f>
        <v/>
      </c>
      <c r="M125" s="50" t="str">
        <f t="array" ref="M125">IFERROR(INDEX('Agenda 2026'!O$2:O$376,MATCH(ROWS($A$7:$A125),'Agenda 2026'!$N$2:$N$376,0)),"")</f>
        <v/>
      </c>
    </row>
    <row r="126" spans="1:13" ht="42" customHeight="1" x14ac:dyDescent="0.35">
      <c r="A126" s="42" t="str">
        <f t="array" ref="A126">IFERROR(INDEX('Agenda 2026'!A$2:A$376,MATCH(ROWS($A$7:$A126),'Agenda 2026'!$N$2:$N$376,0)),"")</f>
        <v/>
      </c>
      <c r="B126" s="43" t="str">
        <f t="array" ref="B126">IFERROR(INDEX('Agenda 2026'!P$2:P$376,MATCH(ROWS($A$7:$A126),'Agenda 2026'!$N$2:$N$376,0)),"")</f>
        <v/>
      </c>
      <c r="C126" s="44" t="str">
        <f t="array" ref="C126">IFERROR(INDEX('Agenda 2026'!B$2:B$376,MATCH(ROWS($A$7:$A126),'Agenda 2026'!$N$2:$N$376,0)),"")</f>
        <v/>
      </c>
      <c r="D126" s="44" t="str">
        <f t="array" ref="D126">IFERROR(INDEX('Agenda 2026'!C$2:C$376,MATCH(ROWS($A$7:$A126),'Agenda 2026'!$N$2:$N$376,0)),"")</f>
        <v/>
      </c>
      <c r="E126" s="44" t="str">
        <f t="array" ref="E126">IFERROR(INDEX('Agenda 2026'!D$2:D$376,MATCH(ROWS($A$7:$A126),'Agenda 2026'!$N$2:$N$376,0)),"")</f>
        <v/>
      </c>
      <c r="F126" s="45" t="str">
        <f t="array" ref="F126">IFERROR(INDEX('Agenda 2026'!E$2:E$376,MATCH(ROWS($A$7:$A126),'Agenda 2026'!$N$2:$N$376,0)),"")</f>
        <v/>
      </c>
      <c r="G126" s="44" t="str">
        <f t="array" ref="G126">IFERROR(INDEX('Agenda 2026'!F$2:F$376,MATCH(ROWS($A$7:$A126),'Agenda 2026'!$N$2:$N$376,0)),"")</f>
        <v/>
      </c>
      <c r="H126" s="44" t="str">
        <f t="array" ref="H126">IFERROR(INDEX('Agenda 2026'!G$2:G$376,MATCH(ROWS($A$7:$A126),'Agenda 2026'!$N$2:$N$376,0)),"")</f>
        <v/>
      </c>
      <c r="I126" s="46" t="str">
        <f t="array" ref="I126">IFERROR(INDEX('Agenda 2026'!H$2:H$376,MATCH(ROWS($A$7:$A126),'Agenda 2026'!$N$2:$N$376,0)),"")</f>
        <v/>
      </c>
      <c r="J126" s="47"/>
      <c r="K126" s="48" t="str">
        <f t="array" ref="K126">IFERROR(HYPERLINK(INDEX('Agenda 2026'!J$2:J$376,MATCH(ROWS($A$7:$A126),'Agenda 2026'!$N$2:$N$376,0)),"Ver fuente ↗"),"")</f>
        <v/>
      </c>
      <c r="L126" s="49" t="str">
        <f t="array" ref="L126">IFERROR(INDEX('Agenda 2026'!K$2:K$376,MATCH(ROWS($A$7:$A126),'Agenda 2026'!$N$2:$N$376,0)),"")</f>
        <v/>
      </c>
      <c r="M126" s="50" t="str">
        <f t="array" ref="M126">IFERROR(INDEX('Agenda 2026'!O$2:O$376,MATCH(ROWS($A$7:$A126),'Agenda 2026'!$N$2:$N$376,0)),"")</f>
        <v/>
      </c>
    </row>
    <row r="127" spans="1:13" ht="42" customHeight="1" x14ac:dyDescent="0.35">
      <c r="A127" s="42" t="str">
        <f t="array" ref="A127">IFERROR(INDEX('Agenda 2026'!A$2:A$376,MATCH(ROWS($A$7:$A127),'Agenda 2026'!$N$2:$N$376,0)),"")</f>
        <v/>
      </c>
      <c r="B127" s="43" t="str">
        <f t="array" ref="B127">IFERROR(INDEX('Agenda 2026'!P$2:P$376,MATCH(ROWS($A$7:$A127),'Agenda 2026'!$N$2:$N$376,0)),"")</f>
        <v/>
      </c>
      <c r="C127" s="44" t="str">
        <f t="array" ref="C127">IFERROR(INDEX('Agenda 2026'!B$2:B$376,MATCH(ROWS($A$7:$A127),'Agenda 2026'!$N$2:$N$376,0)),"")</f>
        <v/>
      </c>
      <c r="D127" s="44" t="str">
        <f t="array" ref="D127">IFERROR(INDEX('Agenda 2026'!C$2:C$376,MATCH(ROWS($A$7:$A127),'Agenda 2026'!$N$2:$N$376,0)),"")</f>
        <v/>
      </c>
      <c r="E127" s="44" t="str">
        <f t="array" ref="E127">IFERROR(INDEX('Agenda 2026'!D$2:D$376,MATCH(ROWS($A$7:$A127),'Agenda 2026'!$N$2:$N$376,0)),"")</f>
        <v/>
      </c>
      <c r="F127" s="45" t="str">
        <f t="array" ref="F127">IFERROR(INDEX('Agenda 2026'!E$2:E$376,MATCH(ROWS($A$7:$A127),'Agenda 2026'!$N$2:$N$376,0)),"")</f>
        <v/>
      </c>
      <c r="G127" s="44" t="str">
        <f t="array" ref="G127">IFERROR(INDEX('Agenda 2026'!F$2:F$376,MATCH(ROWS($A$7:$A127),'Agenda 2026'!$N$2:$N$376,0)),"")</f>
        <v/>
      </c>
      <c r="H127" s="44" t="str">
        <f t="array" ref="H127">IFERROR(INDEX('Agenda 2026'!G$2:G$376,MATCH(ROWS($A$7:$A127),'Agenda 2026'!$N$2:$N$376,0)),"")</f>
        <v/>
      </c>
      <c r="I127" s="46" t="str">
        <f t="array" ref="I127">IFERROR(INDEX('Agenda 2026'!H$2:H$376,MATCH(ROWS($A$7:$A127),'Agenda 2026'!$N$2:$N$376,0)),"")</f>
        <v/>
      </c>
      <c r="J127" s="47"/>
      <c r="K127" s="48" t="str">
        <f t="array" ref="K127">IFERROR(HYPERLINK(INDEX('Agenda 2026'!J$2:J$376,MATCH(ROWS($A$7:$A127),'Agenda 2026'!$N$2:$N$376,0)),"Ver fuente ↗"),"")</f>
        <v/>
      </c>
      <c r="L127" s="49" t="str">
        <f>IFERROR(INDEX('Agenda 2026'!K$2:K$376,MATCH(ROWS($A$7:$A127),'Agenda 2026'!$N$2:$N$376,0)),"")</f>
        <v/>
      </c>
      <c r="M127" s="50" t="str">
        <f t="array" ref="M127">IFERROR(INDEX('Agenda 2026'!O$2:O$376,MATCH(ROWS($A$7:$A127),'Agenda 2026'!$N$2:$N$376,0)),"")</f>
        <v/>
      </c>
    </row>
    <row r="128" spans="1:13" ht="42" customHeight="1" x14ac:dyDescent="0.35">
      <c r="A128" s="42" t="str">
        <f t="array" ref="A128">IFERROR(INDEX('Agenda 2026'!A$2:A$376,MATCH(ROWS($A$7:$A128),'Agenda 2026'!$N$2:$N$376,0)),"")</f>
        <v/>
      </c>
      <c r="B128" s="43" t="str">
        <f t="array" ref="B128">IFERROR(INDEX('Agenda 2026'!P$2:P$376,MATCH(ROWS($A$7:$A128),'Agenda 2026'!$N$2:$N$376,0)),"")</f>
        <v/>
      </c>
      <c r="C128" s="44" t="str">
        <f t="array" ref="C128">IFERROR(INDEX('Agenda 2026'!B$2:B$376,MATCH(ROWS($A$7:$A128),'Agenda 2026'!$N$2:$N$376,0)),"")</f>
        <v/>
      </c>
      <c r="D128" s="44" t="str">
        <f t="array" ref="D128">IFERROR(INDEX('Agenda 2026'!C$2:C$376,MATCH(ROWS($A$7:$A128),'Agenda 2026'!$N$2:$N$376,0)),"")</f>
        <v/>
      </c>
      <c r="E128" s="44" t="str">
        <f t="array" ref="E128">IFERROR(INDEX('Agenda 2026'!D$2:D$376,MATCH(ROWS($A$7:$A128),'Agenda 2026'!$N$2:$N$376,0)),"")</f>
        <v/>
      </c>
      <c r="F128" s="45" t="str">
        <f t="array" ref="F128">IFERROR(INDEX('Agenda 2026'!E$2:E$376,MATCH(ROWS($A$7:$A128),'Agenda 2026'!$N$2:$N$376,0)),"")</f>
        <v/>
      </c>
      <c r="G128" s="44" t="str">
        <f t="array" ref="G128">IFERROR(INDEX('Agenda 2026'!F$2:F$376,MATCH(ROWS($A$7:$A128),'Agenda 2026'!$N$2:$N$376,0)),"")</f>
        <v/>
      </c>
      <c r="H128" s="44" t="str">
        <f t="array" ref="H128">IFERROR(INDEX('Agenda 2026'!G$2:G$376,MATCH(ROWS($A$7:$A128),'Agenda 2026'!$N$2:$N$376,0)),"")</f>
        <v/>
      </c>
      <c r="I128" s="46" t="str">
        <f t="array" ref="I128">IFERROR(INDEX('Agenda 2026'!H$2:H$376,MATCH(ROWS($A$7:$A128),'Agenda 2026'!$N$2:$N$376,0)),"")</f>
        <v/>
      </c>
      <c r="J128" s="47"/>
      <c r="K128" s="48" t="str">
        <f t="array" ref="K128">IFERROR(HYPERLINK(INDEX('Agenda 2026'!J$2:J$376,MATCH(ROWS($A$7:$A128),'Agenda 2026'!$N$2:$N$376,0)),"Ver fuente ↗"),"")</f>
        <v/>
      </c>
      <c r="L128" s="49" t="str">
        <f t="array" ref="L128">IFERROR(INDEX('Agenda 2026'!K$2:K$376,MATCH(ROWS($A$7:$A128),'Agenda 2026'!$N$2:$N$376,0)),"")</f>
        <v/>
      </c>
      <c r="M128" s="50" t="str">
        <f t="array" ref="M128">IFERROR(INDEX('Agenda 2026'!O$2:O$376,MATCH(ROWS($A$7:$A128),'Agenda 2026'!$N$2:$N$376,0)),"")</f>
        <v/>
      </c>
    </row>
    <row r="129" spans="1:13" ht="42" customHeight="1" x14ac:dyDescent="0.35">
      <c r="A129" s="42" t="str">
        <f t="array" ref="A129">IFERROR(INDEX('Agenda 2026'!A$2:A$376,MATCH(ROWS($A$7:$A129),'Agenda 2026'!$N$2:$N$376,0)),"")</f>
        <v/>
      </c>
      <c r="B129" s="43" t="str">
        <f t="array" ref="B129">IFERROR(INDEX('Agenda 2026'!P$2:P$376,MATCH(ROWS($A$7:$A129),'Agenda 2026'!$N$2:$N$376,0)),"")</f>
        <v/>
      </c>
      <c r="C129" s="44" t="str">
        <f t="array" ref="C129">IFERROR(INDEX('Agenda 2026'!B$2:B$376,MATCH(ROWS($A$7:$A129),'Agenda 2026'!$N$2:$N$376,0)),"")</f>
        <v/>
      </c>
      <c r="D129" s="44" t="str">
        <f t="array" ref="D129">IFERROR(INDEX('Agenda 2026'!C$2:C$376,MATCH(ROWS($A$7:$A129),'Agenda 2026'!$N$2:$N$376,0)),"")</f>
        <v/>
      </c>
      <c r="E129" s="44" t="str">
        <f t="array" ref="E129">IFERROR(INDEX('Agenda 2026'!D$2:D$376,MATCH(ROWS($A$7:$A129),'Agenda 2026'!$N$2:$N$376,0)),"")</f>
        <v/>
      </c>
      <c r="F129" s="45" t="str">
        <f t="array" ref="F129">IFERROR(INDEX('Agenda 2026'!E$2:E$376,MATCH(ROWS($A$7:$A129),'Agenda 2026'!$N$2:$N$376,0)),"")</f>
        <v/>
      </c>
      <c r="G129" s="44" t="str">
        <f t="array" ref="G129">IFERROR(INDEX('Agenda 2026'!F$2:F$376,MATCH(ROWS($A$7:$A129),'Agenda 2026'!$N$2:$N$376,0)),"")</f>
        <v/>
      </c>
      <c r="H129" s="44" t="str">
        <f t="array" ref="H129">IFERROR(INDEX('Agenda 2026'!G$2:G$376,MATCH(ROWS($A$7:$A129),'Agenda 2026'!$N$2:$N$376,0)),"")</f>
        <v/>
      </c>
      <c r="I129" s="46" t="str">
        <f t="array" ref="I129">IFERROR(INDEX('Agenda 2026'!H$2:H$376,MATCH(ROWS($A$7:$A129),'Agenda 2026'!$N$2:$N$376,0)),"")</f>
        <v/>
      </c>
      <c r="J129" s="47"/>
      <c r="K129" s="48" t="str">
        <f t="array" ref="K129">IFERROR(HYPERLINK(INDEX('Agenda 2026'!J$2:J$376,MATCH(ROWS($A$7:$A129),'Agenda 2026'!$N$2:$N$376,0)),"Ver fuente ↗"),"")</f>
        <v/>
      </c>
      <c r="L129" s="49" t="str">
        <f>IFERROR(INDEX('Agenda 2026'!K$2:K$376,MATCH(ROWS($A$7:$A129),'Agenda 2026'!$N$2:$N$376,0)),"")</f>
        <v/>
      </c>
      <c r="M129" s="50" t="str">
        <f t="array" ref="M129">IFERROR(INDEX('Agenda 2026'!O$2:O$376,MATCH(ROWS($A$7:$A129),'Agenda 2026'!$N$2:$N$376,0)),"")</f>
        <v/>
      </c>
    </row>
    <row r="130" spans="1:13" ht="42" customHeight="1" x14ac:dyDescent="0.35">
      <c r="A130" s="42" t="str">
        <f t="array" ref="A130">IFERROR(INDEX('Agenda 2026'!A$2:A$376,MATCH(ROWS($A$7:$A130),'Agenda 2026'!$N$2:$N$376,0)),"")</f>
        <v/>
      </c>
      <c r="B130" s="43" t="str">
        <f t="array" ref="B130">IFERROR(INDEX('Agenda 2026'!P$2:P$376,MATCH(ROWS($A$7:$A130),'Agenda 2026'!$N$2:$N$376,0)),"")</f>
        <v/>
      </c>
      <c r="C130" s="44" t="str">
        <f t="array" ref="C130">IFERROR(INDEX('Agenda 2026'!B$2:B$376,MATCH(ROWS($A$7:$A130),'Agenda 2026'!$N$2:$N$376,0)),"")</f>
        <v/>
      </c>
      <c r="D130" s="44" t="str">
        <f t="array" ref="D130">IFERROR(INDEX('Agenda 2026'!C$2:C$376,MATCH(ROWS($A$7:$A130),'Agenda 2026'!$N$2:$N$376,0)),"")</f>
        <v/>
      </c>
      <c r="E130" s="44" t="str">
        <f t="array" ref="E130">IFERROR(INDEX('Agenda 2026'!D$2:D$376,MATCH(ROWS($A$7:$A130),'Agenda 2026'!$N$2:$N$376,0)),"")</f>
        <v/>
      </c>
      <c r="F130" s="45" t="str">
        <f t="array" ref="F130">IFERROR(INDEX('Agenda 2026'!E$2:E$376,MATCH(ROWS($A$7:$A130),'Agenda 2026'!$N$2:$N$376,0)),"")</f>
        <v/>
      </c>
      <c r="G130" s="44" t="str">
        <f t="array" ref="G130">IFERROR(INDEX('Agenda 2026'!F$2:F$376,MATCH(ROWS($A$7:$A130),'Agenda 2026'!$N$2:$N$376,0)),"")</f>
        <v/>
      </c>
      <c r="H130" s="44" t="str">
        <f t="array" ref="H130">IFERROR(INDEX('Agenda 2026'!G$2:G$376,MATCH(ROWS($A$7:$A130),'Agenda 2026'!$N$2:$N$376,0)),"")</f>
        <v/>
      </c>
      <c r="I130" s="46" t="str">
        <f t="array" ref="I130">IFERROR(INDEX('Agenda 2026'!H$2:H$376,MATCH(ROWS($A$7:$A130),'Agenda 2026'!$N$2:$N$376,0)),"")</f>
        <v/>
      </c>
      <c r="J130" s="47"/>
      <c r="K130" s="48" t="str">
        <f t="array" ref="K130">IFERROR(HYPERLINK(INDEX('Agenda 2026'!J$2:J$376,MATCH(ROWS($A$7:$A130),'Agenda 2026'!$N$2:$N$376,0)),"Ver fuente ↗"),"")</f>
        <v/>
      </c>
      <c r="L130" s="49" t="str">
        <f>IFERROR(INDEX('Agenda 2026'!K$2:K$376,MATCH(ROWS($A$7:$A130),'Agenda 2026'!$N$2:$N$376,0)),"")</f>
        <v/>
      </c>
      <c r="M130" s="50" t="str">
        <f t="array" ref="M130">IFERROR(INDEX('Agenda 2026'!O$2:O$376,MATCH(ROWS($A$7:$A130),'Agenda 2026'!$N$2:$N$376,0)),"")</f>
        <v/>
      </c>
    </row>
    <row r="131" spans="1:13" ht="42" customHeight="1" x14ac:dyDescent="0.35">
      <c r="A131" s="42" t="str">
        <f t="array" ref="A131">IFERROR(INDEX('Agenda 2026'!A$2:A$376,MATCH(ROWS($A$7:$A131),'Agenda 2026'!$N$2:$N$376,0)),"")</f>
        <v/>
      </c>
      <c r="B131" s="43" t="str">
        <f t="array" ref="B131">IFERROR(INDEX('Agenda 2026'!P$2:P$376,MATCH(ROWS($A$7:$A131),'Agenda 2026'!$N$2:$N$376,0)),"")</f>
        <v/>
      </c>
      <c r="C131" s="44" t="str">
        <f t="array" ref="C131">IFERROR(INDEX('Agenda 2026'!B$2:B$376,MATCH(ROWS($A$7:$A131),'Agenda 2026'!$N$2:$N$376,0)),"")</f>
        <v/>
      </c>
      <c r="D131" s="44" t="str">
        <f t="array" ref="D131">IFERROR(INDEX('Agenda 2026'!C$2:C$376,MATCH(ROWS($A$7:$A131),'Agenda 2026'!$N$2:$N$376,0)),"")</f>
        <v/>
      </c>
      <c r="E131" s="44" t="str">
        <f t="array" ref="E131">IFERROR(INDEX('Agenda 2026'!D$2:D$376,MATCH(ROWS($A$7:$A131),'Agenda 2026'!$N$2:$N$376,0)),"")</f>
        <v/>
      </c>
      <c r="F131" s="45" t="str">
        <f t="array" ref="F131">IFERROR(INDEX('Agenda 2026'!E$2:E$376,MATCH(ROWS($A$7:$A131),'Agenda 2026'!$N$2:$N$376,0)),"")</f>
        <v/>
      </c>
      <c r="G131" s="44" t="str">
        <f t="array" ref="G131">IFERROR(INDEX('Agenda 2026'!F$2:F$376,MATCH(ROWS($A$7:$A131),'Agenda 2026'!$N$2:$N$376,0)),"")</f>
        <v/>
      </c>
      <c r="H131" s="44" t="str">
        <f t="array" ref="H131">IFERROR(INDEX('Agenda 2026'!G$2:G$376,MATCH(ROWS($A$7:$A131),'Agenda 2026'!$N$2:$N$376,0)),"")</f>
        <v/>
      </c>
      <c r="I131" s="46" t="str">
        <f t="array" ref="I131">IFERROR(INDEX('Agenda 2026'!H$2:H$376,MATCH(ROWS($A$7:$A131),'Agenda 2026'!$N$2:$N$376,0)),"")</f>
        <v/>
      </c>
      <c r="J131" s="47"/>
      <c r="K131" s="48" t="str">
        <f t="array" ref="K131">IFERROR(HYPERLINK(INDEX('Agenda 2026'!J$2:J$376,MATCH(ROWS($A$7:$A131),'Agenda 2026'!$N$2:$N$376,0)),"Ver fuente ↗"),"")</f>
        <v/>
      </c>
      <c r="L131" s="49" t="str">
        <f t="array" ref="L131">IFERROR(INDEX('Agenda 2026'!K$2:K$376,MATCH(ROWS($A$7:$A131),'Agenda 2026'!$N$2:$N$376,0)),"")</f>
        <v/>
      </c>
      <c r="M131" s="50" t="str">
        <f t="array" ref="M131">IFERROR(INDEX('Agenda 2026'!O$2:O$376,MATCH(ROWS($A$7:$A131),'Agenda 2026'!$N$2:$N$376,0)),"")</f>
        <v/>
      </c>
    </row>
    <row r="132" spans="1:13" ht="42" customHeight="1" x14ac:dyDescent="0.35">
      <c r="A132" s="42" t="str">
        <f t="array" ref="A132">IFERROR(INDEX('Agenda 2026'!A$2:A$376,MATCH(ROWS($A$7:$A132),'Agenda 2026'!$N$2:$N$376,0)),"")</f>
        <v/>
      </c>
      <c r="B132" s="43" t="str">
        <f t="array" ref="B132">IFERROR(INDEX('Agenda 2026'!P$2:P$376,MATCH(ROWS($A$7:$A132),'Agenda 2026'!$N$2:$N$376,0)),"")</f>
        <v/>
      </c>
      <c r="C132" s="44" t="str">
        <f t="array" ref="C132">IFERROR(INDEX('Agenda 2026'!B$2:B$376,MATCH(ROWS($A$7:$A132),'Agenda 2026'!$N$2:$N$376,0)),"")</f>
        <v/>
      </c>
      <c r="D132" s="44" t="str">
        <f t="array" ref="D132">IFERROR(INDEX('Agenda 2026'!C$2:C$376,MATCH(ROWS($A$7:$A132),'Agenda 2026'!$N$2:$N$376,0)),"")</f>
        <v/>
      </c>
      <c r="E132" s="44" t="str">
        <f t="array" ref="E132">IFERROR(INDEX('Agenda 2026'!D$2:D$376,MATCH(ROWS($A$7:$A132),'Agenda 2026'!$N$2:$N$376,0)),"")</f>
        <v/>
      </c>
      <c r="F132" s="45" t="str">
        <f t="array" ref="F132">IFERROR(INDEX('Agenda 2026'!E$2:E$376,MATCH(ROWS($A$7:$A132),'Agenda 2026'!$N$2:$N$376,0)),"")</f>
        <v/>
      </c>
      <c r="G132" s="44" t="str">
        <f t="array" ref="G132">IFERROR(INDEX('Agenda 2026'!F$2:F$376,MATCH(ROWS($A$7:$A132),'Agenda 2026'!$N$2:$N$376,0)),"")</f>
        <v/>
      </c>
      <c r="H132" s="44" t="str">
        <f t="array" ref="H132">IFERROR(INDEX('Agenda 2026'!G$2:G$376,MATCH(ROWS($A$7:$A132),'Agenda 2026'!$N$2:$N$376,0)),"")</f>
        <v/>
      </c>
      <c r="I132" s="46" t="str">
        <f t="array" ref="I132">IFERROR(INDEX('Agenda 2026'!H$2:H$376,MATCH(ROWS($A$7:$A132),'Agenda 2026'!$N$2:$N$376,0)),"")</f>
        <v/>
      </c>
      <c r="J132" s="47"/>
      <c r="K132" s="48" t="str">
        <f t="array" ref="K132">IFERROR(HYPERLINK(INDEX('Agenda 2026'!J$2:J$376,MATCH(ROWS($A$7:$A132),'Agenda 2026'!$N$2:$N$376,0)),"Ver fuente ↗"),"")</f>
        <v/>
      </c>
      <c r="L132" s="49" t="str">
        <f t="array" ref="L132">IFERROR(INDEX('Agenda 2026'!K$2:K$376,MATCH(ROWS($A$7:$A132),'Agenda 2026'!$N$2:$N$376,0)),"")</f>
        <v/>
      </c>
      <c r="M132" s="50" t="str">
        <f t="array" ref="M132">IFERROR(INDEX('Agenda 2026'!O$2:O$376,MATCH(ROWS($A$7:$A132),'Agenda 2026'!$N$2:$N$376,0)),"")</f>
        <v/>
      </c>
    </row>
    <row r="133" spans="1:13" ht="42" customHeight="1" x14ac:dyDescent="0.35">
      <c r="A133" s="42" t="str">
        <f t="array" ref="A133">IFERROR(INDEX('Agenda 2026'!A$2:A$376,MATCH(ROWS($A$7:$A133),'Agenda 2026'!$N$2:$N$376,0)),"")</f>
        <v/>
      </c>
      <c r="B133" s="43" t="str">
        <f t="array" ref="B133">IFERROR(INDEX('Agenda 2026'!P$2:P$376,MATCH(ROWS($A$7:$A133),'Agenda 2026'!$N$2:$N$376,0)),"")</f>
        <v/>
      </c>
      <c r="C133" s="44" t="str">
        <f t="array" ref="C133">IFERROR(INDEX('Agenda 2026'!B$2:B$376,MATCH(ROWS($A$7:$A133),'Agenda 2026'!$N$2:$N$376,0)),"")</f>
        <v/>
      </c>
      <c r="D133" s="44" t="str">
        <f t="array" ref="D133">IFERROR(INDEX('Agenda 2026'!C$2:C$376,MATCH(ROWS($A$7:$A133),'Agenda 2026'!$N$2:$N$376,0)),"")</f>
        <v/>
      </c>
      <c r="E133" s="44" t="str">
        <f t="array" ref="E133">IFERROR(INDEX('Agenda 2026'!D$2:D$376,MATCH(ROWS($A$7:$A133),'Agenda 2026'!$N$2:$N$376,0)),"")</f>
        <v/>
      </c>
      <c r="F133" s="45" t="str">
        <f t="array" ref="F133">IFERROR(INDEX('Agenda 2026'!E$2:E$376,MATCH(ROWS($A$7:$A133),'Agenda 2026'!$N$2:$N$376,0)),"")</f>
        <v/>
      </c>
      <c r="G133" s="44" t="str">
        <f t="array" ref="G133">IFERROR(INDEX('Agenda 2026'!F$2:F$376,MATCH(ROWS($A$7:$A133),'Agenda 2026'!$N$2:$N$376,0)),"")</f>
        <v/>
      </c>
      <c r="H133" s="44" t="str">
        <f t="array" ref="H133">IFERROR(INDEX('Agenda 2026'!G$2:G$376,MATCH(ROWS($A$7:$A133),'Agenda 2026'!$N$2:$N$376,0)),"")</f>
        <v/>
      </c>
      <c r="I133" s="46" t="str">
        <f t="array" ref="I133">IFERROR(INDEX('Agenda 2026'!H$2:H$376,MATCH(ROWS($A$7:$A133),'Agenda 2026'!$N$2:$N$376,0)),"")</f>
        <v/>
      </c>
      <c r="J133" s="47"/>
      <c r="K133" s="48" t="str">
        <f t="array" ref="K133">IFERROR(HYPERLINK(INDEX('Agenda 2026'!J$2:J$376,MATCH(ROWS($A$7:$A133),'Agenda 2026'!$N$2:$N$376,0)),"Ver fuente ↗"),"")</f>
        <v/>
      </c>
      <c r="L133" s="49" t="str">
        <f>IFERROR(INDEX('Agenda 2026'!K$2:K$376,MATCH(ROWS($A$7:$A133),'Agenda 2026'!$N$2:$N$376,0)),"")</f>
        <v/>
      </c>
      <c r="M133" s="50" t="str">
        <f t="array" ref="M133">IFERROR(INDEX('Agenda 2026'!O$2:O$376,MATCH(ROWS($A$7:$A133),'Agenda 2026'!$N$2:$N$376,0)),"")</f>
        <v/>
      </c>
    </row>
    <row r="134" spans="1:13" ht="42" customHeight="1" x14ac:dyDescent="0.35">
      <c r="A134" s="42" t="str">
        <f t="array" ref="A134">IFERROR(INDEX('Agenda 2026'!A$2:A$376,MATCH(ROWS($A$7:$A134),'Agenda 2026'!$N$2:$N$376,0)),"")</f>
        <v/>
      </c>
      <c r="B134" s="43" t="str">
        <f t="array" ref="B134">IFERROR(INDEX('Agenda 2026'!P$2:P$376,MATCH(ROWS($A$7:$A134),'Agenda 2026'!$N$2:$N$376,0)),"")</f>
        <v/>
      </c>
      <c r="C134" s="44" t="str">
        <f t="array" ref="C134">IFERROR(INDEX('Agenda 2026'!B$2:B$376,MATCH(ROWS($A$7:$A134),'Agenda 2026'!$N$2:$N$376,0)),"")</f>
        <v/>
      </c>
      <c r="D134" s="44" t="str">
        <f t="array" ref="D134">IFERROR(INDEX('Agenda 2026'!C$2:C$376,MATCH(ROWS($A$7:$A134),'Agenda 2026'!$N$2:$N$376,0)),"")</f>
        <v/>
      </c>
      <c r="E134" s="44" t="str">
        <f t="array" ref="E134">IFERROR(INDEX('Agenda 2026'!D$2:D$376,MATCH(ROWS($A$7:$A134),'Agenda 2026'!$N$2:$N$376,0)),"")</f>
        <v/>
      </c>
      <c r="F134" s="45" t="str">
        <f t="array" ref="F134">IFERROR(INDEX('Agenda 2026'!E$2:E$376,MATCH(ROWS($A$7:$A134),'Agenda 2026'!$N$2:$N$376,0)),"")</f>
        <v/>
      </c>
      <c r="G134" s="44" t="str">
        <f t="array" ref="G134">IFERROR(INDEX('Agenda 2026'!F$2:F$376,MATCH(ROWS($A$7:$A134),'Agenda 2026'!$N$2:$N$376,0)),"")</f>
        <v/>
      </c>
      <c r="H134" s="44" t="str">
        <f t="array" ref="H134">IFERROR(INDEX('Agenda 2026'!G$2:G$376,MATCH(ROWS($A$7:$A134),'Agenda 2026'!$N$2:$N$376,0)),"")</f>
        <v/>
      </c>
      <c r="I134" s="46" t="str">
        <f t="array" ref="I134">IFERROR(INDEX('Agenda 2026'!H$2:H$376,MATCH(ROWS($A$7:$A134),'Agenda 2026'!$N$2:$N$376,0)),"")</f>
        <v/>
      </c>
      <c r="J134" s="47"/>
      <c r="K134" s="48" t="str">
        <f t="array" ref="K134">IFERROR(HYPERLINK(INDEX('Agenda 2026'!J$2:J$376,MATCH(ROWS($A$7:$A134),'Agenda 2026'!$N$2:$N$376,0)),"Ver fuente ↗"),"")</f>
        <v/>
      </c>
      <c r="L134" s="49" t="str">
        <f>IFERROR(INDEX('Agenda 2026'!K$2:K$376,MATCH(ROWS($A$7:$A134),'Agenda 2026'!$N$2:$N$376,0)),"")</f>
        <v/>
      </c>
      <c r="M134" s="50" t="str">
        <f t="array" ref="M134">IFERROR(INDEX('Agenda 2026'!O$2:O$376,MATCH(ROWS($A$7:$A134),'Agenda 2026'!$N$2:$N$376,0)),"")</f>
        <v/>
      </c>
    </row>
    <row r="135" spans="1:13" ht="42" customHeight="1" x14ac:dyDescent="0.35">
      <c r="A135" s="42" t="str">
        <f t="array" ref="A135">IFERROR(INDEX('Agenda 2026'!A$2:A$376,MATCH(ROWS($A$7:$A135),'Agenda 2026'!$N$2:$N$376,0)),"")</f>
        <v/>
      </c>
      <c r="B135" s="43" t="str">
        <f t="array" ref="B135">IFERROR(INDEX('Agenda 2026'!P$2:P$376,MATCH(ROWS($A$7:$A135),'Agenda 2026'!$N$2:$N$376,0)),"")</f>
        <v/>
      </c>
      <c r="C135" s="44" t="str">
        <f t="array" ref="C135">IFERROR(INDEX('Agenda 2026'!B$2:B$376,MATCH(ROWS($A$7:$A135),'Agenda 2026'!$N$2:$N$376,0)),"")</f>
        <v/>
      </c>
      <c r="D135" s="44" t="str">
        <f t="array" ref="D135">IFERROR(INDEX('Agenda 2026'!C$2:C$376,MATCH(ROWS($A$7:$A135),'Agenda 2026'!$N$2:$N$376,0)),"")</f>
        <v/>
      </c>
      <c r="E135" s="44" t="str">
        <f t="array" ref="E135">IFERROR(INDEX('Agenda 2026'!D$2:D$376,MATCH(ROWS($A$7:$A135),'Agenda 2026'!$N$2:$N$376,0)),"")</f>
        <v/>
      </c>
      <c r="F135" s="45" t="str">
        <f t="array" ref="F135">IFERROR(INDEX('Agenda 2026'!E$2:E$376,MATCH(ROWS($A$7:$A135),'Agenda 2026'!$N$2:$N$376,0)),"")</f>
        <v/>
      </c>
      <c r="G135" s="44" t="str">
        <f t="array" ref="G135">IFERROR(INDEX('Agenda 2026'!F$2:F$376,MATCH(ROWS($A$7:$A135),'Agenda 2026'!$N$2:$N$376,0)),"")</f>
        <v/>
      </c>
      <c r="H135" s="44" t="str">
        <f t="array" ref="H135">IFERROR(INDEX('Agenda 2026'!G$2:G$376,MATCH(ROWS($A$7:$A135),'Agenda 2026'!$N$2:$N$376,0)),"")</f>
        <v/>
      </c>
      <c r="I135" s="46" t="str">
        <f t="array" ref="I135">IFERROR(INDEX('Agenda 2026'!H$2:H$376,MATCH(ROWS($A$7:$A135),'Agenda 2026'!$N$2:$N$376,0)),"")</f>
        <v/>
      </c>
      <c r="J135" s="47"/>
      <c r="K135" s="48" t="str">
        <f t="array" ref="K135">IFERROR(HYPERLINK(INDEX('Agenda 2026'!J$2:J$376,MATCH(ROWS($A$7:$A135),'Agenda 2026'!$N$2:$N$376,0)),"Ver fuente ↗"),"")</f>
        <v/>
      </c>
      <c r="L135" s="49" t="str">
        <f>IFERROR(INDEX('Agenda 2026'!K$2:K$376,MATCH(ROWS($A$7:$A135),'Agenda 2026'!$N$2:$N$376,0)),"")</f>
        <v/>
      </c>
      <c r="M135" s="50" t="str">
        <f t="array" ref="M135">IFERROR(INDEX('Agenda 2026'!O$2:O$376,MATCH(ROWS($A$7:$A135),'Agenda 2026'!$N$2:$N$376,0)),"")</f>
        <v/>
      </c>
    </row>
    <row r="136" spans="1:13" ht="42" customHeight="1" x14ac:dyDescent="0.35">
      <c r="A136" s="42" t="str">
        <f t="array" ref="A136">IFERROR(INDEX('Agenda 2026'!A$2:A$376,MATCH(ROWS($A$7:$A136),'Agenda 2026'!$N$2:$N$376,0)),"")</f>
        <v/>
      </c>
      <c r="B136" s="43" t="str">
        <f t="array" ref="B136">IFERROR(INDEX('Agenda 2026'!P$2:P$376,MATCH(ROWS($A$7:$A136),'Agenda 2026'!$N$2:$N$376,0)),"")</f>
        <v/>
      </c>
      <c r="C136" s="44" t="str">
        <f t="array" ref="C136">IFERROR(INDEX('Agenda 2026'!B$2:B$376,MATCH(ROWS($A$7:$A136),'Agenda 2026'!$N$2:$N$376,0)),"")</f>
        <v/>
      </c>
      <c r="D136" s="44" t="str">
        <f t="array" ref="D136">IFERROR(INDEX('Agenda 2026'!C$2:C$376,MATCH(ROWS($A$7:$A136),'Agenda 2026'!$N$2:$N$376,0)),"")</f>
        <v/>
      </c>
      <c r="E136" s="44" t="str">
        <f t="array" ref="E136">IFERROR(INDEX('Agenda 2026'!D$2:D$376,MATCH(ROWS($A$7:$A136),'Agenda 2026'!$N$2:$N$376,0)),"")</f>
        <v/>
      </c>
      <c r="F136" s="45" t="str">
        <f t="array" ref="F136">IFERROR(INDEX('Agenda 2026'!E$2:E$376,MATCH(ROWS($A$7:$A136),'Agenda 2026'!$N$2:$N$376,0)),"")</f>
        <v/>
      </c>
      <c r="G136" s="44" t="str">
        <f t="array" ref="G136">IFERROR(INDEX('Agenda 2026'!F$2:F$376,MATCH(ROWS($A$7:$A136),'Agenda 2026'!$N$2:$N$376,0)),"")</f>
        <v/>
      </c>
      <c r="H136" s="44" t="str">
        <f t="array" ref="H136">IFERROR(INDEX('Agenda 2026'!G$2:G$376,MATCH(ROWS($A$7:$A136),'Agenda 2026'!$N$2:$N$376,0)),"")</f>
        <v/>
      </c>
      <c r="I136" s="46" t="str">
        <f t="array" ref="I136">IFERROR(INDEX('Agenda 2026'!H$2:H$376,MATCH(ROWS($A$7:$A136),'Agenda 2026'!$N$2:$N$376,0)),"")</f>
        <v/>
      </c>
      <c r="J136" s="47"/>
      <c r="K136" s="48" t="str">
        <f t="array" ref="K136">IFERROR(HYPERLINK(INDEX('Agenda 2026'!J$2:J$376,MATCH(ROWS($A$7:$A136),'Agenda 2026'!$N$2:$N$376,0)),"Ver fuente ↗"),"")</f>
        <v/>
      </c>
      <c r="L136" s="49" t="str">
        <f>IFERROR(INDEX('Agenda 2026'!K$2:K$376,MATCH(ROWS($A$7:$A136),'Agenda 2026'!$N$2:$N$376,0)),"")</f>
        <v/>
      </c>
      <c r="M136" s="50" t="str">
        <f t="array" ref="M136">IFERROR(INDEX('Agenda 2026'!O$2:O$376,MATCH(ROWS($A$7:$A136),'Agenda 2026'!$N$2:$N$376,0)),"")</f>
        <v/>
      </c>
    </row>
    <row r="137" spans="1:13" ht="42" customHeight="1" x14ac:dyDescent="0.35">
      <c r="A137" s="42" t="str">
        <f t="array" ref="A137">IFERROR(INDEX('Agenda 2026'!A$2:A$376,MATCH(ROWS($A$7:$A137),'Agenda 2026'!$N$2:$N$376,0)),"")</f>
        <v/>
      </c>
      <c r="B137" s="43" t="str">
        <f t="array" ref="B137">IFERROR(INDEX('Agenda 2026'!P$2:P$376,MATCH(ROWS($A$7:$A137),'Agenda 2026'!$N$2:$N$376,0)),"")</f>
        <v/>
      </c>
      <c r="C137" s="44" t="str">
        <f t="array" ref="C137">IFERROR(INDEX('Agenda 2026'!B$2:B$376,MATCH(ROWS($A$7:$A137),'Agenda 2026'!$N$2:$N$376,0)),"")</f>
        <v/>
      </c>
      <c r="D137" s="44" t="str">
        <f t="array" ref="D137">IFERROR(INDEX('Agenda 2026'!C$2:C$376,MATCH(ROWS($A$7:$A137),'Agenda 2026'!$N$2:$N$376,0)),"")</f>
        <v/>
      </c>
      <c r="E137" s="44" t="str">
        <f t="array" ref="E137">IFERROR(INDEX('Agenda 2026'!D$2:D$376,MATCH(ROWS($A$7:$A137),'Agenda 2026'!$N$2:$N$376,0)),"")</f>
        <v/>
      </c>
      <c r="F137" s="45" t="str">
        <f t="array" ref="F137">IFERROR(INDEX('Agenda 2026'!E$2:E$376,MATCH(ROWS($A$7:$A137),'Agenda 2026'!$N$2:$N$376,0)),"")</f>
        <v/>
      </c>
      <c r="G137" s="44" t="str">
        <f t="array" ref="G137">IFERROR(INDEX('Agenda 2026'!F$2:F$376,MATCH(ROWS($A$7:$A137),'Agenda 2026'!$N$2:$N$376,0)),"")</f>
        <v/>
      </c>
      <c r="H137" s="44" t="str">
        <f t="array" ref="H137">IFERROR(INDEX('Agenda 2026'!G$2:G$376,MATCH(ROWS($A$7:$A137),'Agenda 2026'!$N$2:$N$376,0)),"")</f>
        <v/>
      </c>
      <c r="I137" s="46" t="str">
        <f t="array" ref="I137">IFERROR(INDEX('Agenda 2026'!H$2:H$376,MATCH(ROWS($A$7:$A137),'Agenda 2026'!$N$2:$N$376,0)),"")</f>
        <v/>
      </c>
      <c r="J137" s="47"/>
      <c r="K137" s="48" t="str">
        <f t="array" ref="K137">IFERROR(HYPERLINK(INDEX('Agenda 2026'!J$2:J$376,MATCH(ROWS($A$7:$A137),'Agenda 2026'!$N$2:$N$376,0)),"Ver fuente ↗"),"")</f>
        <v/>
      </c>
      <c r="L137" s="49" t="str">
        <f>IFERROR(INDEX('Agenda 2026'!K$2:K$376,MATCH(ROWS($A$7:$A137),'Agenda 2026'!$N$2:$N$376,0)),"")</f>
        <v/>
      </c>
      <c r="M137" s="50" t="str">
        <f t="array" ref="M137">IFERROR(INDEX('Agenda 2026'!O$2:O$376,MATCH(ROWS($A$7:$A137),'Agenda 2026'!$N$2:$N$376,0)),"")</f>
        <v/>
      </c>
    </row>
    <row r="138" spans="1:13" ht="42" customHeight="1" x14ac:dyDescent="0.35">
      <c r="A138" s="42" t="str">
        <f t="array" ref="A138">IFERROR(INDEX('Agenda 2026'!A$2:A$376,MATCH(ROWS($A$7:$A138),'Agenda 2026'!$N$2:$N$376,0)),"")</f>
        <v/>
      </c>
      <c r="B138" s="43" t="str">
        <f t="array" ref="B138">IFERROR(INDEX('Agenda 2026'!P$2:P$376,MATCH(ROWS($A$7:$A138),'Agenda 2026'!$N$2:$N$376,0)),"")</f>
        <v/>
      </c>
      <c r="C138" s="44" t="str">
        <f t="array" ref="C138">IFERROR(INDEX('Agenda 2026'!B$2:B$376,MATCH(ROWS($A$7:$A138),'Agenda 2026'!$N$2:$N$376,0)),"")</f>
        <v/>
      </c>
      <c r="D138" s="44" t="str">
        <f t="array" ref="D138">IFERROR(INDEX('Agenda 2026'!C$2:C$376,MATCH(ROWS($A$7:$A138),'Agenda 2026'!$N$2:$N$376,0)),"")</f>
        <v/>
      </c>
      <c r="E138" s="44" t="str">
        <f t="array" ref="E138">IFERROR(INDEX('Agenda 2026'!D$2:D$376,MATCH(ROWS($A$7:$A138),'Agenda 2026'!$N$2:$N$376,0)),"")</f>
        <v/>
      </c>
      <c r="F138" s="45" t="str">
        <f t="array" ref="F138">IFERROR(INDEX('Agenda 2026'!E$2:E$376,MATCH(ROWS($A$7:$A138),'Agenda 2026'!$N$2:$N$376,0)),"")</f>
        <v/>
      </c>
      <c r="G138" s="44" t="str">
        <f t="array" ref="G138">IFERROR(INDEX('Agenda 2026'!F$2:F$376,MATCH(ROWS($A$7:$A138),'Agenda 2026'!$N$2:$N$376,0)),"")</f>
        <v/>
      </c>
      <c r="H138" s="44" t="str">
        <f t="array" ref="H138">IFERROR(INDEX('Agenda 2026'!G$2:G$376,MATCH(ROWS($A$7:$A138),'Agenda 2026'!$N$2:$N$376,0)),"")</f>
        <v/>
      </c>
      <c r="I138" s="46" t="str">
        <f t="array" ref="I138">IFERROR(INDEX('Agenda 2026'!H$2:H$376,MATCH(ROWS($A$7:$A138),'Agenda 2026'!$N$2:$N$376,0)),"")</f>
        <v/>
      </c>
      <c r="J138" s="47"/>
      <c r="K138" s="48" t="str">
        <f t="array" ref="K138">IFERROR(HYPERLINK(INDEX('Agenda 2026'!J$2:J$376,MATCH(ROWS($A$7:$A138),'Agenda 2026'!$N$2:$N$376,0)),"Ver fuente ↗"),"")</f>
        <v/>
      </c>
      <c r="L138" s="49" t="str">
        <f>IFERROR(INDEX('Agenda 2026'!K$2:K$376,MATCH(ROWS($A$7:$A138),'Agenda 2026'!$N$2:$N$376,0)),"")</f>
        <v/>
      </c>
      <c r="M138" s="50" t="str">
        <f t="array" ref="M138">IFERROR(INDEX('Agenda 2026'!O$2:O$376,MATCH(ROWS($A$7:$A138),'Agenda 2026'!$N$2:$N$376,0)),"")</f>
        <v/>
      </c>
    </row>
    <row r="139" spans="1:13" ht="42" customHeight="1" x14ac:dyDescent="0.35">
      <c r="A139" s="42" t="str">
        <f t="array" ref="A139">IFERROR(INDEX('Agenda 2026'!A$2:A$376,MATCH(ROWS($A$7:$A139),'Agenda 2026'!$N$2:$N$376,0)),"")</f>
        <v/>
      </c>
      <c r="B139" s="43" t="str">
        <f t="array" ref="B139">IFERROR(INDEX('Agenda 2026'!P$2:P$376,MATCH(ROWS($A$7:$A139),'Agenda 2026'!$N$2:$N$376,0)),"")</f>
        <v/>
      </c>
      <c r="C139" s="44" t="str">
        <f t="array" ref="C139">IFERROR(INDEX('Agenda 2026'!B$2:B$376,MATCH(ROWS($A$7:$A139),'Agenda 2026'!$N$2:$N$376,0)),"")</f>
        <v/>
      </c>
      <c r="D139" s="44" t="str">
        <f t="array" ref="D139">IFERROR(INDEX('Agenda 2026'!C$2:C$376,MATCH(ROWS($A$7:$A139),'Agenda 2026'!$N$2:$N$376,0)),"")</f>
        <v/>
      </c>
      <c r="E139" s="44" t="str">
        <f t="array" ref="E139">IFERROR(INDEX('Agenda 2026'!D$2:D$376,MATCH(ROWS($A$7:$A139),'Agenda 2026'!$N$2:$N$376,0)),"")</f>
        <v/>
      </c>
      <c r="F139" s="45" t="str">
        <f t="array" ref="F139">IFERROR(INDEX('Agenda 2026'!E$2:E$376,MATCH(ROWS($A$7:$A139),'Agenda 2026'!$N$2:$N$376,0)),"")</f>
        <v/>
      </c>
      <c r="G139" s="44" t="str">
        <f t="array" ref="G139">IFERROR(INDEX('Agenda 2026'!F$2:F$376,MATCH(ROWS($A$7:$A139),'Agenda 2026'!$N$2:$N$376,0)),"")</f>
        <v/>
      </c>
      <c r="H139" s="44" t="str">
        <f t="array" ref="H139">IFERROR(INDEX('Agenda 2026'!G$2:G$376,MATCH(ROWS($A$7:$A139),'Agenda 2026'!$N$2:$N$376,0)),"")</f>
        <v/>
      </c>
      <c r="I139" s="46" t="str">
        <f t="array" ref="I139">IFERROR(INDEX('Agenda 2026'!H$2:H$376,MATCH(ROWS($A$7:$A139),'Agenda 2026'!$N$2:$N$376,0)),"")</f>
        <v/>
      </c>
      <c r="J139" s="47"/>
      <c r="K139" s="48" t="str">
        <f t="array" ref="K139">IFERROR(HYPERLINK(INDEX('Agenda 2026'!J$2:J$376,MATCH(ROWS($A$7:$A139),'Agenda 2026'!$N$2:$N$376,0)),"Ver fuente ↗"),"")</f>
        <v/>
      </c>
      <c r="L139" s="49" t="str">
        <f t="array" ref="L139">IFERROR(INDEX('Agenda 2026'!K$2:K$376,MATCH(ROWS($A$7:$A139),'Agenda 2026'!$N$2:$N$376,0)),"")</f>
        <v/>
      </c>
      <c r="M139" s="50" t="str">
        <f t="array" ref="M139">IFERROR(INDEX('Agenda 2026'!O$2:O$376,MATCH(ROWS($A$7:$A139),'Agenda 2026'!$N$2:$N$376,0)),"")</f>
        <v/>
      </c>
    </row>
    <row r="140" spans="1:13" ht="42" customHeight="1" x14ac:dyDescent="0.35">
      <c r="A140" s="42" t="str">
        <f t="array" ref="A140">IFERROR(INDEX('Agenda 2026'!A$2:A$376,MATCH(ROWS($A$7:$A140),'Agenda 2026'!$N$2:$N$376,0)),"")</f>
        <v/>
      </c>
      <c r="B140" s="43" t="str">
        <f t="array" ref="B140">IFERROR(INDEX('Agenda 2026'!P$2:P$376,MATCH(ROWS($A$7:$A140),'Agenda 2026'!$N$2:$N$376,0)),"")</f>
        <v/>
      </c>
      <c r="C140" s="44" t="str">
        <f t="array" ref="C140">IFERROR(INDEX('Agenda 2026'!B$2:B$376,MATCH(ROWS($A$7:$A140),'Agenda 2026'!$N$2:$N$376,0)),"")</f>
        <v/>
      </c>
      <c r="D140" s="44" t="str">
        <f t="array" ref="D140">IFERROR(INDEX('Agenda 2026'!C$2:C$376,MATCH(ROWS($A$7:$A140),'Agenda 2026'!$N$2:$N$376,0)),"")</f>
        <v/>
      </c>
      <c r="E140" s="44" t="str">
        <f t="array" ref="E140">IFERROR(INDEX('Agenda 2026'!D$2:D$376,MATCH(ROWS($A$7:$A140),'Agenda 2026'!$N$2:$N$376,0)),"")</f>
        <v/>
      </c>
      <c r="F140" s="45" t="str">
        <f t="array" ref="F140">IFERROR(INDEX('Agenda 2026'!E$2:E$376,MATCH(ROWS($A$7:$A140),'Agenda 2026'!$N$2:$N$376,0)),"")</f>
        <v/>
      </c>
      <c r="G140" s="44" t="str">
        <f t="array" ref="G140">IFERROR(INDEX('Agenda 2026'!F$2:F$376,MATCH(ROWS($A$7:$A140),'Agenda 2026'!$N$2:$N$376,0)),"")</f>
        <v/>
      </c>
      <c r="H140" s="44" t="str">
        <f t="array" ref="H140">IFERROR(INDEX('Agenda 2026'!G$2:G$376,MATCH(ROWS($A$7:$A140),'Agenda 2026'!$N$2:$N$376,0)),"")</f>
        <v/>
      </c>
      <c r="I140" s="46" t="str">
        <f t="array" ref="I140">IFERROR(INDEX('Agenda 2026'!H$2:H$376,MATCH(ROWS($A$7:$A140),'Agenda 2026'!$N$2:$N$376,0)),"")</f>
        <v/>
      </c>
      <c r="J140" s="47"/>
      <c r="K140" s="48" t="str">
        <f t="array" ref="K140">IFERROR(HYPERLINK(INDEX('Agenda 2026'!J$2:J$376,MATCH(ROWS($A$7:$A140),'Agenda 2026'!$N$2:$N$376,0)),"Ver fuente ↗"),"")</f>
        <v/>
      </c>
      <c r="L140" s="49" t="str">
        <f t="array" ref="L140">IFERROR(INDEX('Agenda 2026'!K$2:K$376,MATCH(ROWS($A$7:$A140),'Agenda 2026'!$N$2:$N$376,0)),"")</f>
        <v/>
      </c>
      <c r="M140" s="50" t="str">
        <f t="array" ref="M140">IFERROR(INDEX('Agenda 2026'!O$2:O$376,MATCH(ROWS($A$7:$A140),'Agenda 2026'!$N$2:$N$376,0)),"")</f>
        <v/>
      </c>
    </row>
    <row r="141" spans="1:13" ht="42" customHeight="1" x14ac:dyDescent="0.35">
      <c r="A141" s="42" t="str">
        <f t="array" ref="A141">IFERROR(INDEX('Agenda 2026'!A$2:A$376,MATCH(ROWS($A$7:$A141),'Agenda 2026'!$N$2:$N$376,0)),"")</f>
        <v/>
      </c>
      <c r="B141" s="43" t="str">
        <f t="array" ref="B141">IFERROR(INDEX('Agenda 2026'!P$2:P$376,MATCH(ROWS($A$7:$A141),'Agenda 2026'!$N$2:$N$376,0)),"")</f>
        <v/>
      </c>
      <c r="C141" s="44" t="str">
        <f t="array" ref="C141">IFERROR(INDEX('Agenda 2026'!B$2:B$376,MATCH(ROWS($A$7:$A141),'Agenda 2026'!$N$2:$N$376,0)),"")</f>
        <v/>
      </c>
      <c r="D141" s="44" t="str">
        <f t="array" ref="D141">IFERROR(INDEX('Agenda 2026'!C$2:C$376,MATCH(ROWS($A$7:$A141),'Agenda 2026'!$N$2:$N$376,0)),"")</f>
        <v/>
      </c>
      <c r="E141" s="44" t="str">
        <f t="array" ref="E141">IFERROR(INDEX('Agenda 2026'!D$2:D$376,MATCH(ROWS($A$7:$A141),'Agenda 2026'!$N$2:$N$376,0)),"")</f>
        <v/>
      </c>
      <c r="F141" s="45" t="str">
        <f t="array" ref="F141">IFERROR(INDEX('Agenda 2026'!E$2:E$376,MATCH(ROWS($A$7:$A141),'Agenda 2026'!$N$2:$N$376,0)),"")</f>
        <v/>
      </c>
      <c r="G141" s="44" t="str">
        <f t="array" ref="G141">IFERROR(INDEX('Agenda 2026'!F$2:F$376,MATCH(ROWS($A$7:$A141),'Agenda 2026'!$N$2:$N$376,0)),"")</f>
        <v/>
      </c>
      <c r="H141" s="44" t="str">
        <f t="array" ref="H141">IFERROR(INDEX('Agenda 2026'!G$2:G$376,MATCH(ROWS($A$7:$A141),'Agenda 2026'!$N$2:$N$376,0)),"")</f>
        <v/>
      </c>
      <c r="I141" s="46" t="str">
        <f t="array" ref="I141">IFERROR(INDEX('Agenda 2026'!H$2:H$376,MATCH(ROWS($A$7:$A141),'Agenda 2026'!$N$2:$N$376,0)),"")</f>
        <v/>
      </c>
      <c r="J141" s="47"/>
      <c r="K141" s="48" t="str">
        <f t="array" ref="K141">IFERROR(HYPERLINK(INDEX('Agenda 2026'!J$2:J$376,MATCH(ROWS($A$7:$A141),'Agenda 2026'!$N$2:$N$376,0)),"Ver fuente ↗"),"")</f>
        <v/>
      </c>
      <c r="L141" s="49" t="str">
        <f>IFERROR(INDEX('Agenda 2026'!K$2:K$376,MATCH(ROWS($A$7:$A141),'Agenda 2026'!$N$2:$N$376,0)),"")</f>
        <v/>
      </c>
      <c r="M141" s="50" t="str">
        <f t="array" ref="M141">IFERROR(INDEX('Agenda 2026'!O$2:O$376,MATCH(ROWS($A$7:$A141),'Agenda 2026'!$N$2:$N$376,0)),"")</f>
        <v/>
      </c>
    </row>
    <row r="142" spans="1:13" ht="42" customHeight="1" x14ac:dyDescent="0.35">
      <c r="A142" s="42" t="str">
        <f t="array" ref="A142">IFERROR(INDEX('Agenda 2026'!A$2:A$376,MATCH(ROWS($A$7:$A142),'Agenda 2026'!$N$2:$N$376,0)),"")</f>
        <v/>
      </c>
      <c r="B142" s="43" t="str">
        <f t="array" ref="B142">IFERROR(INDEX('Agenda 2026'!P$2:P$376,MATCH(ROWS($A$7:$A142),'Agenda 2026'!$N$2:$N$376,0)),"")</f>
        <v/>
      </c>
      <c r="C142" s="44" t="str">
        <f t="array" ref="C142">IFERROR(INDEX('Agenda 2026'!B$2:B$376,MATCH(ROWS($A$7:$A142),'Agenda 2026'!$N$2:$N$376,0)),"")</f>
        <v/>
      </c>
      <c r="D142" s="44" t="str">
        <f t="array" ref="D142">IFERROR(INDEX('Agenda 2026'!C$2:C$376,MATCH(ROWS($A$7:$A142),'Agenda 2026'!$N$2:$N$376,0)),"")</f>
        <v/>
      </c>
      <c r="E142" s="44" t="str">
        <f t="array" ref="E142">IFERROR(INDEX('Agenda 2026'!D$2:D$376,MATCH(ROWS($A$7:$A142),'Agenda 2026'!$N$2:$N$376,0)),"")</f>
        <v/>
      </c>
      <c r="F142" s="45" t="str">
        <f t="array" ref="F142">IFERROR(INDEX('Agenda 2026'!E$2:E$376,MATCH(ROWS($A$7:$A142),'Agenda 2026'!$N$2:$N$376,0)),"")</f>
        <v/>
      </c>
      <c r="G142" s="44" t="str">
        <f t="array" ref="G142">IFERROR(INDEX('Agenda 2026'!F$2:F$376,MATCH(ROWS($A$7:$A142),'Agenda 2026'!$N$2:$N$376,0)),"")</f>
        <v/>
      </c>
      <c r="H142" s="44" t="str">
        <f t="array" ref="H142">IFERROR(INDEX('Agenda 2026'!G$2:G$376,MATCH(ROWS($A$7:$A142),'Agenda 2026'!$N$2:$N$376,0)),"")</f>
        <v/>
      </c>
      <c r="I142" s="46" t="str">
        <f t="array" ref="I142">IFERROR(INDEX('Agenda 2026'!H$2:H$376,MATCH(ROWS($A$7:$A142),'Agenda 2026'!$N$2:$N$376,0)),"")</f>
        <v/>
      </c>
      <c r="J142" s="47"/>
      <c r="K142" s="48" t="str">
        <f t="array" ref="K142">IFERROR(HYPERLINK(INDEX('Agenda 2026'!J$2:J$376,MATCH(ROWS($A$7:$A142),'Agenda 2026'!$N$2:$N$376,0)),"Ver fuente ↗"),"")</f>
        <v/>
      </c>
      <c r="L142" s="49" t="str">
        <f>IFERROR(INDEX('Agenda 2026'!K$2:K$376,MATCH(ROWS($A$7:$A142),'Agenda 2026'!$N$2:$N$376,0)),"")</f>
        <v/>
      </c>
      <c r="M142" s="50" t="str">
        <f t="array" ref="M142">IFERROR(INDEX('Agenda 2026'!O$2:O$376,MATCH(ROWS($A$7:$A142),'Agenda 2026'!$N$2:$N$376,0)),"")</f>
        <v/>
      </c>
    </row>
    <row r="143" spans="1:13" ht="42" customHeight="1" x14ac:dyDescent="0.35">
      <c r="A143" s="42" t="str">
        <f t="array" ref="A143">IFERROR(INDEX('Agenda 2026'!A$2:A$376,MATCH(ROWS($A$7:$A143),'Agenda 2026'!$N$2:$N$376,0)),"")</f>
        <v/>
      </c>
      <c r="B143" s="43" t="str">
        <f t="array" ref="B143">IFERROR(INDEX('Agenda 2026'!P$2:P$376,MATCH(ROWS($A$7:$A143),'Agenda 2026'!$N$2:$N$376,0)),"")</f>
        <v/>
      </c>
      <c r="C143" s="44" t="str">
        <f t="array" ref="C143">IFERROR(INDEX('Agenda 2026'!B$2:B$376,MATCH(ROWS($A$7:$A143),'Agenda 2026'!$N$2:$N$376,0)),"")</f>
        <v/>
      </c>
      <c r="D143" s="44" t="str">
        <f t="array" ref="D143">IFERROR(INDEX('Agenda 2026'!C$2:C$376,MATCH(ROWS($A$7:$A143),'Agenda 2026'!$N$2:$N$376,0)),"")</f>
        <v/>
      </c>
      <c r="E143" s="44" t="str">
        <f t="array" ref="E143">IFERROR(INDEX('Agenda 2026'!D$2:D$376,MATCH(ROWS($A$7:$A143),'Agenda 2026'!$N$2:$N$376,0)),"")</f>
        <v/>
      </c>
      <c r="F143" s="45" t="str">
        <f t="array" ref="F143">IFERROR(INDEX('Agenda 2026'!E$2:E$376,MATCH(ROWS($A$7:$A143),'Agenda 2026'!$N$2:$N$376,0)),"")</f>
        <v/>
      </c>
      <c r="G143" s="44" t="str">
        <f t="array" ref="G143">IFERROR(INDEX('Agenda 2026'!F$2:F$376,MATCH(ROWS($A$7:$A143),'Agenda 2026'!$N$2:$N$376,0)),"")</f>
        <v/>
      </c>
      <c r="H143" s="44" t="str">
        <f t="array" ref="H143">IFERROR(INDEX('Agenda 2026'!G$2:G$376,MATCH(ROWS($A$7:$A143),'Agenda 2026'!$N$2:$N$376,0)),"")</f>
        <v/>
      </c>
      <c r="I143" s="46" t="str">
        <f t="array" ref="I143">IFERROR(INDEX('Agenda 2026'!H$2:H$376,MATCH(ROWS($A$7:$A143),'Agenda 2026'!$N$2:$N$376,0)),"")</f>
        <v/>
      </c>
      <c r="J143" s="47"/>
      <c r="K143" s="48" t="str">
        <f t="array" ref="K143">IFERROR(HYPERLINK(INDEX('Agenda 2026'!J$2:J$376,MATCH(ROWS($A$7:$A143),'Agenda 2026'!$N$2:$N$376,0)),"Ver fuente ↗"),"")</f>
        <v/>
      </c>
      <c r="L143" s="49" t="str">
        <f t="array" ref="L143">IFERROR(INDEX('Agenda 2026'!K$2:K$376,MATCH(ROWS($A$7:$A143),'Agenda 2026'!$N$2:$N$376,0)),"")</f>
        <v/>
      </c>
      <c r="M143" s="50" t="str">
        <f t="array" ref="M143">IFERROR(INDEX('Agenda 2026'!O$2:O$376,MATCH(ROWS($A$7:$A143),'Agenda 2026'!$N$2:$N$376,0)),"")</f>
        <v/>
      </c>
    </row>
    <row r="144" spans="1:13" ht="42" customHeight="1" x14ac:dyDescent="0.35">
      <c r="A144" s="42" t="str">
        <f t="array" ref="A144">IFERROR(INDEX('Agenda 2026'!A$2:A$376,MATCH(ROWS($A$7:$A144),'Agenda 2026'!$N$2:$N$376,0)),"")</f>
        <v/>
      </c>
      <c r="B144" s="43" t="str">
        <f t="array" ref="B144">IFERROR(INDEX('Agenda 2026'!P$2:P$376,MATCH(ROWS($A$7:$A144),'Agenda 2026'!$N$2:$N$376,0)),"")</f>
        <v/>
      </c>
      <c r="C144" s="44" t="str">
        <f t="array" ref="C144">IFERROR(INDEX('Agenda 2026'!B$2:B$376,MATCH(ROWS($A$7:$A144),'Agenda 2026'!$N$2:$N$376,0)),"")</f>
        <v/>
      </c>
      <c r="D144" s="44" t="str">
        <f t="array" ref="D144">IFERROR(INDEX('Agenda 2026'!C$2:C$376,MATCH(ROWS($A$7:$A144),'Agenda 2026'!$N$2:$N$376,0)),"")</f>
        <v/>
      </c>
      <c r="E144" s="44" t="str">
        <f t="array" ref="E144">IFERROR(INDEX('Agenda 2026'!D$2:D$376,MATCH(ROWS($A$7:$A144),'Agenda 2026'!$N$2:$N$376,0)),"")</f>
        <v/>
      </c>
      <c r="F144" s="45" t="str">
        <f t="array" ref="F144">IFERROR(INDEX('Agenda 2026'!E$2:E$376,MATCH(ROWS($A$7:$A144),'Agenda 2026'!$N$2:$N$376,0)),"")</f>
        <v/>
      </c>
      <c r="G144" s="44" t="str">
        <f t="array" ref="G144">IFERROR(INDEX('Agenda 2026'!F$2:F$376,MATCH(ROWS($A$7:$A144),'Agenda 2026'!$N$2:$N$376,0)),"")</f>
        <v/>
      </c>
      <c r="H144" s="44" t="str">
        <f t="array" ref="H144">IFERROR(INDEX('Agenda 2026'!G$2:G$376,MATCH(ROWS($A$7:$A144),'Agenda 2026'!$N$2:$N$376,0)),"")</f>
        <v/>
      </c>
      <c r="I144" s="46" t="str">
        <f t="array" ref="I144">IFERROR(INDEX('Agenda 2026'!H$2:H$376,MATCH(ROWS($A$7:$A144),'Agenda 2026'!$N$2:$N$376,0)),"")</f>
        <v/>
      </c>
      <c r="J144" s="47"/>
      <c r="K144" s="48" t="str">
        <f t="array" ref="K144">IFERROR(HYPERLINK(INDEX('Agenda 2026'!J$2:J$376,MATCH(ROWS($A$7:$A144),'Agenda 2026'!$N$2:$N$376,0)),"Ver fuente ↗"),"")</f>
        <v/>
      </c>
      <c r="L144" s="49" t="str">
        <f t="array" ref="L144">IFERROR(INDEX('Agenda 2026'!K$2:K$376,MATCH(ROWS($A$7:$A144),'Agenda 2026'!$N$2:$N$376,0)),"")</f>
        <v/>
      </c>
      <c r="M144" s="50" t="str">
        <f t="array" ref="M144">IFERROR(INDEX('Agenda 2026'!O$2:O$376,MATCH(ROWS($A$7:$A144),'Agenda 2026'!$N$2:$N$376,0)),"")</f>
        <v/>
      </c>
    </row>
    <row r="145" spans="1:13" ht="42" customHeight="1" x14ac:dyDescent="0.35">
      <c r="A145" s="42" t="str">
        <f t="array" ref="A145">IFERROR(INDEX('Agenda 2026'!A$2:A$376,MATCH(ROWS($A$7:$A145),'Agenda 2026'!$N$2:$N$376,0)),"")</f>
        <v/>
      </c>
      <c r="B145" s="43" t="str">
        <f t="array" ref="B145">IFERROR(INDEX('Agenda 2026'!P$2:P$376,MATCH(ROWS($A$7:$A145),'Agenda 2026'!$N$2:$N$376,0)),"")</f>
        <v/>
      </c>
      <c r="C145" s="44" t="str">
        <f t="array" ref="C145">IFERROR(INDEX('Agenda 2026'!B$2:B$376,MATCH(ROWS($A$7:$A145),'Agenda 2026'!$N$2:$N$376,0)),"")</f>
        <v/>
      </c>
      <c r="D145" s="44" t="str">
        <f t="array" ref="D145">IFERROR(INDEX('Agenda 2026'!C$2:C$376,MATCH(ROWS($A$7:$A145),'Agenda 2026'!$N$2:$N$376,0)),"")</f>
        <v/>
      </c>
      <c r="E145" s="44" t="str">
        <f t="array" ref="E145">IFERROR(INDEX('Agenda 2026'!D$2:D$376,MATCH(ROWS($A$7:$A145),'Agenda 2026'!$N$2:$N$376,0)),"")</f>
        <v/>
      </c>
      <c r="F145" s="45" t="str">
        <f t="array" ref="F145">IFERROR(INDEX('Agenda 2026'!E$2:E$376,MATCH(ROWS($A$7:$A145),'Agenda 2026'!$N$2:$N$376,0)),"")</f>
        <v/>
      </c>
      <c r="G145" s="44" t="str">
        <f t="array" ref="G145">IFERROR(INDEX('Agenda 2026'!F$2:F$376,MATCH(ROWS($A$7:$A145),'Agenda 2026'!$N$2:$N$376,0)),"")</f>
        <v/>
      </c>
      <c r="H145" s="44" t="str">
        <f t="array" ref="H145">IFERROR(INDEX('Agenda 2026'!G$2:G$376,MATCH(ROWS($A$7:$A145),'Agenda 2026'!$N$2:$N$376,0)),"")</f>
        <v/>
      </c>
      <c r="I145" s="46" t="str">
        <f t="array" ref="I145">IFERROR(INDEX('Agenda 2026'!H$2:H$376,MATCH(ROWS($A$7:$A145),'Agenda 2026'!$N$2:$N$376,0)),"")</f>
        <v/>
      </c>
      <c r="J145" s="47"/>
      <c r="K145" s="48" t="str">
        <f t="array" ref="K145">IFERROR(HYPERLINK(INDEX('Agenda 2026'!J$2:J$376,MATCH(ROWS($A$7:$A145),'Agenda 2026'!$N$2:$N$376,0)),"Ver fuente ↗"),"")</f>
        <v/>
      </c>
      <c r="L145" s="49" t="str">
        <f>IFERROR(INDEX('Agenda 2026'!K$2:K$376,MATCH(ROWS($A$7:$A145),'Agenda 2026'!$N$2:$N$376,0)),"")</f>
        <v/>
      </c>
      <c r="M145" s="50" t="str">
        <f t="array" ref="M145">IFERROR(INDEX('Agenda 2026'!O$2:O$376,MATCH(ROWS($A$7:$A145),'Agenda 2026'!$N$2:$N$376,0)),"")</f>
        <v/>
      </c>
    </row>
    <row r="146" spans="1:13" ht="42" customHeight="1" x14ac:dyDescent="0.35">
      <c r="A146" s="42" t="str">
        <f t="array" ref="A146">IFERROR(INDEX('Agenda 2026'!A$2:A$376,MATCH(ROWS($A$7:$A146),'Agenda 2026'!$N$2:$N$376,0)),"")</f>
        <v/>
      </c>
      <c r="B146" s="43" t="str">
        <f t="array" ref="B146">IFERROR(INDEX('Agenda 2026'!P$2:P$376,MATCH(ROWS($A$7:$A146),'Agenda 2026'!$N$2:$N$376,0)),"")</f>
        <v/>
      </c>
      <c r="C146" s="44" t="str">
        <f t="array" ref="C146">IFERROR(INDEX('Agenda 2026'!B$2:B$376,MATCH(ROWS($A$7:$A146),'Agenda 2026'!$N$2:$N$376,0)),"")</f>
        <v/>
      </c>
      <c r="D146" s="44" t="str">
        <f t="array" ref="D146">IFERROR(INDEX('Agenda 2026'!C$2:C$376,MATCH(ROWS($A$7:$A146),'Agenda 2026'!$N$2:$N$376,0)),"")</f>
        <v/>
      </c>
      <c r="E146" s="44" t="str">
        <f t="array" ref="E146">IFERROR(INDEX('Agenda 2026'!D$2:D$376,MATCH(ROWS($A$7:$A146),'Agenda 2026'!$N$2:$N$376,0)),"")</f>
        <v/>
      </c>
      <c r="F146" s="45" t="str">
        <f t="array" ref="F146">IFERROR(INDEX('Agenda 2026'!E$2:E$376,MATCH(ROWS($A$7:$A146),'Agenda 2026'!$N$2:$N$376,0)),"")</f>
        <v/>
      </c>
      <c r="G146" s="44" t="str">
        <f t="array" ref="G146">IFERROR(INDEX('Agenda 2026'!F$2:F$376,MATCH(ROWS($A$7:$A146),'Agenda 2026'!$N$2:$N$376,0)),"")</f>
        <v/>
      </c>
      <c r="H146" s="44" t="str">
        <f t="array" ref="H146">IFERROR(INDEX('Agenda 2026'!G$2:G$376,MATCH(ROWS($A$7:$A146),'Agenda 2026'!$N$2:$N$376,0)),"")</f>
        <v/>
      </c>
      <c r="I146" s="46" t="str">
        <f t="array" ref="I146">IFERROR(INDEX('Agenda 2026'!H$2:H$376,MATCH(ROWS($A$7:$A146),'Agenda 2026'!$N$2:$N$376,0)),"")</f>
        <v/>
      </c>
      <c r="J146" s="47"/>
      <c r="K146" s="48" t="str">
        <f t="array" ref="K146">IFERROR(HYPERLINK(INDEX('Agenda 2026'!J$2:J$376,MATCH(ROWS($A$7:$A146),'Agenda 2026'!$N$2:$N$376,0)),"Ver fuente ↗"),"")</f>
        <v/>
      </c>
      <c r="L146" s="49" t="str">
        <f>IFERROR(INDEX('Agenda 2026'!K$2:K$376,MATCH(ROWS($A$7:$A146),'Agenda 2026'!$N$2:$N$376,0)),"")</f>
        <v/>
      </c>
      <c r="M146" s="50" t="str">
        <f t="array" ref="M146">IFERROR(INDEX('Agenda 2026'!O$2:O$376,MATCH(ROWS($A$7:$A146),'Agenda 2026'!$N$2:$N$376,0)),"")</f>
        <v/>
      </c>
    </row>
    <row r="147" spans="1:13" ht="42" customHeight="1" x14ac:dyDescent="0.35">
      <c r="A147" s="42" t="str">
        <f t="array" ref="A147">IFERROR(INDEX('Agenda 2026'!A$2:A$376,MATCH(ROWS($A$7:$A147),'Agenda 2026'!$N$2:$N$376,0)),"")</f>
        <v/>
      </c>
      <c r="B147" s="43" t="str">
        <f t="array" ref="B147">IFERROR(INDEX('Agenda 2026'!P$2:P$376,MATCH(ROWS($A$7:$A147),'Agenda 2026'!$N$2:$N$376,0)),"")</f>
        <v/>
      </c>
      <c r="C147" s="44" t="str">
        <f t="array" ref="C147">IFERROR(INDEX('Agenda 2026'!B$2:B$376,MATCH(ROWS($A$7:$A147),'Agenda 2026'!$N$2:$N$376,0)),"")</f>
        <v/>
      </c>
      <c r="D147" s="44" t="str">
        <f t="array" ref="D147">IFERROR(INDEX('Agenda 2026'!C$2:C$376,MATCH(ROWS($A$7:$A147),'Agenda 2026'!$N$2:$N$376,0)),"")</f>
        <v/>
      </c>
      <c r="E147" s="44" t="str">
        <f t="array" ref="E147">IFERROR(INDEX('Agenda 2026'!D$2:D$376,MATCH(ROWS($A$7:$A147),'Agenda 2026'!$N$2:$N$376,0)),"")</f>
        <v/>
      </c>
      <c r="F147" s="45" t="str">
        <f t="array" ref="F147">IFERROR(INDEX('Agenda 2026'!E$2:E$376,MATCH(ROWS($A$7:$A147),'Agenda 2026'!$N$2:$N$376,0)),"")</f>
        <v/>
      </c>
      <c r="G147" s="44" t="str">
        <f t="array" ref="G147">IFERROR(INDEX('Agenda 2026'!F$2:F$376,MATCH(ROWS($A$7:$A147),'Agenda 2026'!$N$2:$N$376,0)),"")</f>
        <v/>
      </c>
      <c r="H147" s="44" t="str">
        <f t="array" ref="H147">IFERROR(INDEX('Agenda 2026'!G$2:G$376,MATCH(ROWS($A$7:$A147),'Agenda 2026'!$N$2:$N$376,0)),"")</f>
        <v/>
      </c>
      <c r="I147" s="46" t="str">
        <f t="array" ref="I147">IFERROR(INDEX('Agenda 2026'!H$2:H$376,MATCH(ROWS($A$7:$A147),'Agenda 2026'!$N$2:$N$376,0)),"")</f>
        <v/>
      </c>
      <c r="J147" s="47"/>
      <c r="K147" s="48" t="str">
        <f t="array" ref="K147">IFERROR(HYPERLINK(INDEX('Agenda 2026'!J$2:J$376,MATCH(ROWS($A$7:$A147),'Agenda 2026'!$N$2:$N$376,0)),"Ver fuente ↗"),"")</f>
        <v/>
      </c>
      <c r="L147" s="49" t="str">
        <f>IFERROR(INDEX('Agenda 2026'!K$2:K$376,MATCH(ROWS($A$7:$A147),'Agenda 2026'!$N$2:$N$376,0)),"")</f>
        <v/>
      </c>
      <c r="M147" s="50" t="str">
        <f t="array" ref="M147">IFERROR(INDEX('Agenda 2026'!O$2:O$376,MATCH(ROWS($A$7:$A147),'Agenda 2026'!$N$2:$N$376,0)),"")</f>
        <v/>
      </c>
    </row>
    <row r="148" spans="1:13" ht="42" customHeight="1" x14ac:dyDescent="0.35">
      <c r="A148" s="42" t="str">
        <f t="array" ref="A148">IFERROR(INDEX('Agenda 2026'!A$2:A$376,MATCH(ROWS($A$7:$A148),'Agenda 2026'!$N$2:$N$376,0)),"")</f>
        <v/>
      </c>
      <c r="B148" s="43" t="str">
        <f t="array" ref="B148">IFERROR(INDEX('Agenda 2026'!P$2:P$376,MATCH(ROWS($A$7:$A148),'Agenda 2026'!$N$2:$N$376,0)),"")</f>
        <v/>
      </c>
      <c r="C148" s="44" t="str">
        <f t="array" ref="C148">IFERROR(INDEX('Agenda 2026'!B$2:B$376,MATCH(ROWS($A$7:$A148),'Agenda 2026'!$N$2:$N$376,0)),"")</f>
        <v/>
      </c>
      <c r="D148" s="44" t="str">
        <f t="array" ref="D148">IFERROR(INDEX('Agenda 2026'!C$2:C$376,MATCH(ROWS($A$7:$A148),'Agenda 2026'!$N$2:$N$376,0)),"")</f>
        <v/>
      </c>
      <c r="E148" s="44" t="str">
        <f t="array" ref="E148">IFERROR(INDEX('Agenda 2026'!D$2:D$376,MATCH(ROWS($A$7:$A148),'Agenda 2026'!$N$2:$N$376,0)),"")</f>
        <v/>
      </c>
      <c r="F148" s="45" t="str">
        <f t="array" ref="F148">IFERROR(INDEX('Agenda 2026'!E$2:E$376,MATCH(ROWS($A$7:$A148),'Agenda 2026'!$N$2:$N$376,0)),"")</f>
        <v/>
      </c>
      <c r="G148" s="44" t="str">
        <f t="array" ref="G148">IFERROR(INDEX('Agenda 2026'!F$2:F$376,MATCH(ROWS($A$7:$A148),'Agenda 2026'!$N$2:$N$376,0)),"")</f>
        <v/>
      </c>
      <c r="H148" s="44" t="str">
        <f t="array" ref="H148">IFERROR(INDEX('Agenda 2026'!G$2:G$376,MATCH(ROWS($A$7:$A148),'Agenda 2026'!$N$2:$N$376,0)),"")</f>
        <v/>
      </c>
      <c r="I148" s="46" t="str">
        <f t="array" ref="I148">IFERROR(INDEX('Agenda 2026'!H$2:H$376,MATCH(ROWS($A$7:$A148),'Agenda 2026'!$N$2:$N$376,0)),"")</f>
        <v/>
      </c>
      <c r="J148" s="47"/>
      <c r="K148" s="48" t="str">
        <f t="array" ref="K148">IFERROR(HYPERLINK(INDEX('Agenda 2026'!J$2:J$376,MATCH(ROWS($A$7:$A148),'Agenda 2026'!$N$2:$N$376,0)),"Ver fuente ↗"),"")</f>
        <v/>
      </c>
      <c r="L148" s="49" t="str">
        <f>IFERROR(INDEX('Agenda 2026'!K$2:K$376,MATCH(ROWS($A$7:$A148),'Agenda 2026'!$N$2:$N$376,0)),"")</f>
        <v/>
      </c>
      <c r="M148" s="50" t="str">
        <f t="array" ref="M148">IFERROR(INDEX('Agenda 2026'!O$2:O$376,MATCH(ROWS($A$7:$A148),'Agenda 2026'!$N$2:$N$376,0)),"")</f>
        <v/>
      </c>
    </row>
    <row r="149" spans="1:13" ht="42" customHeight="1" x14ac:dyDescent="0.35">
      <c r="A149" s="42" t="str">
        <f t="array" ref="A149">IFERROR(INDEX('Agenda 2026'!A$2:A$376,MATCH(ROWS($A$7:$A149),'Agenda 2026'!$N$2:$N$376,0)),"")</f>
        <v/>
      </c>
      <c r="B149" s="43" t="str">
        <f t="array" ref="B149">IFERROR(INDEX('Agenda 2026'!P$2:P$376,MATCH(ROWS($A$7:$A149),'Agenda 2026'!$N$2:$N$376,0)),"")</f>
        <v/>
      </c>
      <c r="C149" s="44" t="str">
        <f t="array" ref="C149">IFERROR(INDEX('Agenda 2026'!B$2:B$376,MATCH(ROWS($A$7:$A149),'Agenda 2026'!$N$2:$N$376,0)),"")</f>
        <v/>
      </c>
      <c r="D149" s="44" t="str">
        <f t="array" ref="D149">IFERROR(INDEX('Agenda 2026'!C$2:C$376,MATCH(ROWS($A$7:$A149),'Agenda 2026'!$N$2:$N$376,0)),"")</f>
        <v/>
      </c>
      <c r="E149" s="44" t="str">
        <f t="array" ref="E149">IFERROR(INDEX('Agenda 2026'!D$2:D$376,MATCH(ROWS($A$7:$A149),'Agenda 2026'!$N$2:$N$376,0)),"")</f>
        <v/>
      </c>
      <c r="F149" s="45" t="str">
        <f t="array" ref="F149">IFERROR(INDEX('Agenda 2026'!E$2:E$376,MATCH(ROWS($A$7:$A149),'Agenda 2026'!$N$2:$N$376,0)),"")</f>
        <v/>
      </c>
      <c r="G149" s="44" t="str">
        <f t="array" ref="G149">IFERROR(INDEX('Agenda 2026'!F$2:F$376,MATCH(ROWS($A$7:$A149),'Agenda 2026'!$N$2:$N$376,0)),"")</f>
        <v/>
      </c>
      <c r="H149" s="44" t="str">
        <f t="array" ref="H149">IFERROR(INDEX('Agenda 2026'!G$2:G$376,MATCH(ROWS($A$7:$A149),'Agenda 2026'!$N$2:$N$376,0)),"")</f>
        <v/>
      </c>
      <c r="I149" s="46" t="str">
        <f t="array" ref="I149">IFERROR(INDEX('Agenda 2026'!H$2:H$376,MATCH(ROWS($A$7:$A149),'Agenda 2026'!$N$2:$N$376,0)),"")</f>
        <v/>
      </c>
      <c r="J149" s="47"/>
      <c r="K149" s="48" t="str">
        <f t="array" ref="K149">IFERROR(HYPERLINK(INDEX('Agenda 2026'!J$2:J$376,MATCH(ROWS($A$7:$A149),'Agenda 2026'!$N$2:$N$376,0)),"Ver fuente ↗"),"")</f>
        <v/>
      </c>
      <c r="L149" s="49" t="str">
        <f>IFERROR(INDEX('Agenda 2026'!K$2:K$376,MATCH(ROWS($A$7:$A149),'Agenda 2026'!$N$2:$N$376,0)),"")</f>
        <v/>
      </c>
      <c r="M149" s="50" t="str">
        <f t="array" ref="M149">IFERROR(INDEX('Agenda 2026'!O$2:O$376,MATCH(ROWS($A$7:$A149),'Agenda 2026'!$N$2:$N$376,0)),"")</f>
        <v/>
      </c>
    </row>
    <row r="150" spans="1:13" ht="42" customHeight="1" x14ac:dyDescent="0.35">
      <c r="A150" s="42" t="str">
        <f t="array" ref="A150">IFERROR(INDEX('Agenda 2026'!A$2:A$376,MATCH(ROWS($A$7:$A150),'Agenda 2026'!$N$2:$N$376,0)),"")</f>
        <v/>
      </c>
      <c r="B150" s="43" t="str">
        <f t="array" ref="B150">IFERROR(INDEX('Agenda 2026'!P$2:P$376,MATCH(ROWS($A$7:$A150),'Agenda 2026'!$N$2:$N$376,0)),"")</f>
        <v/>
      </c>
      <c r="C150" s="44" t="str">
        <f t="array" ref="C150">IFERROR(INDEX('Agenda 2026'!B$2:B$376,MATCH(ROWS($A$7:$A150),'Agenda 2026'!$N$2:$N$376,0)),"")</f>
        <v/>
      </c>
      <c r="D150" s="44" t="str">
        <f t="array" ref="D150">IFERROR(INDEX('Agenda 2026'!C$2:C$376,MATCH(ROWS($A$7:$A150),'Agenda 2026'!$N$2:$N$376,0)),"")</f>
        <v/>
      </c>
      <c r="E150" s="44" t="str">
        <f t="array" ref="E150">IFERROR(INDEX('Agenda 2026'!D$2:D$376,MATCH(ROWS($A$7:$A150),'Agenda 2026'!$N$2:$N$376,0)),"")</f>
        <v/>
      </c>
      <c r="F150" s="45" t="str">
        <f t="array" ref="F150">IFERROR(INDEX('Agenda 2026'!E$2:E$376,MATCH(ROWS($A$7:$A150),'Agenda 2026'!$N$2:$N$376,0)),"")</f>
        <v/>
      </c>
      <c r="G150" s="44" t="str">
        <f t="array" ref="G150">IFERROR(INDEX('Agenda 2026'!F$2:F$376,MATCH(ROWS($A$7:$A150),'Agenda 2026'!$N$2:$N$376,0)),"")</f>
        <v/>
      </c>
      <c r="H150" s="44" t="str">
        <f t="array" ref="H150">IFERROR(INDEX('Agenda 2026'!G$2:G$376,MATCH(ROWS($A$7:$A150),'Agenda 2026'!$N$2:$N$376,0)),"")</f>
        <v/>
      </c>
      <c r="I150" s="46" t="str">
        <f t="array" ref="I150">IFERROR(INDEX('Agenda 2026'!H$2:H$376,MATCH(ROWS($A$7:$A150),'Agenda 2026'!$N$2:$N$376,0)),"")</f>
        <v/>
      </c>
      <c r="J150" s="47"/>
      <c r="K150" s="48" t="str">
        <f t="array" ref="K150">IFERROR(HYPERLINK(INDEX('Agenda 2026'!J$2:J$376,MATCH(ROWS($A$7:$A150),'Agenda 2026'!$N$2:$N$376,0)),"Ver fuente ↗"),"")</f>
        <v/>
      </c>
      <c r="L150" s="49" t="str">
        <f>IFERROR(INDEX('Agenda 2026'!K$2:K$376,MATCH(ROWS($A$7:$A150),'Agenda 2026'!$N$2:$N$376,0)),"")</f>
        <v/>
      </c>
      <c r="M150" s="50" t="str">
        <f t="array" ref="M150">IFERROR(INDEX('Agenda 2026'!O$2:O$376,MATCH(ROWS($A$7:$A150),'Agenda 2026'!$N$2:$N$376,0)),"")</f>
        <v/>
      </c>
    </row>
    <row r="151" spans="1:13" ht="42" customHeight="1" x14ac:dyDescent="0.35">
      <c r="A151" s="42" t="str">
        <f t="array" ref="A151">IFERROR(INDEX('Agenda 2026'!A$2:A$376,MATCH(ROWS($A$7:$A151),'Agenda 2026'!$N$2:$N$376,0)),"")</f>
        <v/>
      </c>
      <c r="B151" s="43" t="str">
        <f t="array" ref="B151">IFERROR(INDEX('Agenda 2026'!P$2:P$376,MATCH(ROWS($A$7:$A151),'Agenda 2026'!$N$2:$N$376,0)),"")</f>
        <v/>
      </c>
      <c r="C151" s="44" t="str">
        <f t="array" ref="C151">IFERROR(INDEX('Agenda 2026'!B$2:B$376,MATCH(ROWS($A$7:$A151),'Agenda 2026'!$N$2:$N$376,0)),"")</f>
        <v/>
      </c>
      <c r="D151" s="44" t="str">
        <f t="array" ref="D151">IFERROR(INDEX('Agenda 2026'!C$2:C$376,MATCH(ROWS($A$7:$A151),'Agenda 2026'!$N$2:$N$376,0)),"")</f>
        <v/>
      </c>
      <c r="E151" s="44" t="str">
        <f t="array" ref="E151">IFERROR(INDEX('Agenda 2026'!D$2:D$376,MATCH(ROWS($A$7:$A151),'Agenda 2026'!$N$2:$N$376,0)),"")</f>
        <v/>
      </c>
      <c r="F151" s="45" t="str">
        <f t="array" ref="F151">IFERROR(INDEX('Agenda 2026'!E$2:E$376,MATCH(ROWS($A$7:$A151),'Agenda 2026'!$N$2:$N$376,0)),"")</f>
        <v/>
      </c>
      <c r="G151" s="44" t="str">
        <f t="array" ref="G151">IFERROR(INDEX('Agenda 2026'!F$2:F$376,MATCH(ROWS($A$7:$A151),'Agenda 2026'!$N$2:$N$376,0)),"")</f>
        <v/>
      </c>
      <c r="H151" s="44" t="str">
        <f t="array" ref="H151">IFERROR(INDEX('Agenda 2026'!G$2:G$376,MATCH(ROWS($A$7:$A151),'Agenda 2026'!$N$2:$N$376,0)),"")</f>
        <v/>
      </c>
      <c r="I151" s="46" t="str">
        <f t="array" ref="I151">IFERROR(INDEX('Agenda 2026'!H$2:H$376,MATCH(ROWS($A$7:$A151),'Agenda 2026'!$N$2:$N$376,0)),"")</f>
        <v/>
      </c>
      <c r="J151" s="47"/>
      <c r="K151" s="48" t="str">
        <f t="array" ref="K151">IFERROR(HYPERLINK(INDEX('Agenda 2026'!J$2:J$376,MATCH(ROWS($A$7:$A151),'Agenda 2026'!$N$2:$N$376,0)),"Ver fuente ↗"),"")</f>
        <v/>
      </c>
      <c r="L151" s="49" t="str">
        <f t="array" ref="L151">IFERROR(INDEX('Agenda 2026'!K$2:K$376,MATCH(ROWS($A$7:$A151),'Agenda 2026'!$N$2:$N$376,0)),"")</f>
        <v/>
      </c>
      <c r="M151" s="50" t="str">
        <f t="array" ref="M151">IFERROR(INDEX('Agenda 2026'!O$2:O$376,MATCH(ROWS($A$7:$A151),'Agenda 2026'!$N$2:$N$376,0)),"")</f>
        <v/>
      </c>
    </row>
    <row r="152" spans="1:13" ht="42" customHeight="1" x14ac:dyDescent="0.35">
      <c r="A152" s="42" t="str">
        <f t="array" ref="A152">IFERROR(INDEX('Agenda 2026'!A$2:A$376,MATCH(ROWS($A$7:$A152),'Agenda 2026'!$N$2:$N$376,0)),"")</f>
        <v/>
      </c>
      <c r="B152" s="43" t="str">
        <f t="array" ref="B152">IFERROR(INDEX('Agenda 2026'!P$2:P$376,MATCH(ROWS($A$7:$A152),'Agenda 2026'!$N$2:$N$376,0)),"")</f>
        <v/>
      </c>
      <c r="C152" s="44" t="str">
        <f t="array" ref="C152">IFERROR(INDEX('Agenda 2026'!B$2:B$376,MATCH(ROWS($A$7:$A152),'Agenda 2026'!$N$2:$N$376,0)),"")</f>
        <v/>
      </c>
      <c r="D152" s="44" t="str">
        <f t="array" ref="D152">IFERROR(INDEX('Agenda 2026'!C$2:C$376,MATCH(ROWS($A$7:$A152),'Agenda 2026'!$N$2:$N$376,0)),"")</f>
        <v/>
      </c>
      <c r="E152" s="44" t="str">
        <f t="array" ref="E152">IFERROR(INDEX('Agenda 2026'!D$2:D$376,MATCH(ROWS($A$7:$A152),'Agenda 2026'!$N$2:$N$376,0)),"")</f>
        <v/>
      </c>
      <c r="F152" s="45" t="str">
        <f t="array" ref="F152">IFERROR(INDEX('Agenda 2026'!E$2:E$376,MATCH(ROWS($A$7:$A152),'Agenda 2026'!$N$2:$N$376,0)),"")</f>
        <v/>
      </c>
      <c r="G152" s="44" t="str">
        <f t="array" ref="G152">IFERROR(INDEX('Agenda 2026'!F$2:F$376,MATCH(ROWS($A$7:$A152),'Agenda 2026'!$N$2:$N$376,0)),"")</f>
        <v/>
      </c>
      <c r="H152" s="44" t="str">
        <f t="array" ref="H152">IFERROR(INDEX('Agenda 2026'!G$2:G$376,MATCH(ROWS($A$7:$A152),'Agenda 2026'!$N$2:$N$376,0)),"")</f>
        <v/>
      </c>
      <c r="I152" s="46" t="str">
        <f t="array" ref="I152">IFERROR(INDEX('Agenda 2026'!H$2:H$376,MATCH(ROWS($A$7:$A152),'Agenda 2026'!$N$2:$N$376,0)),"")</f>
        <v/>
      </c>
      <c r="J152" s="47"/>
      <c r="K152" s="48" t="str">
        <f t="array" ref="K152">IFERROR(HYPERLINK(INDEX('Agenda 2026'!J$2:J$376,MATCH(ROWS($A$7:$A152),'Agenda 2026'!$N$2:$N$376,0)),"Ver fuente ↗"),"")</f>
        <v/>
      </c>
      <c r="L152" s="49" t="str">
        <f t="array" ref="L152">IFERROR(INDEX('Agenda 2026'!K$2:K$376,MATCH(ROWS($A$7:$A152),'Agenda 2026'!$N$2:$N$376,0)),"")</f>
        <v/>
      </c>
      <c r="M152" s="50" t="str">
        <f t="array" ref="M152">IFERROR(INDEX('Agenda 2026'!O$2:O$376,MATCH(ROWS($A$7:$A152),'Agenda 2026'!$N$2:$N$376,0)),"")</f>
        <v/>
      </c>
    </row>
    <row r="153" spans="1:13" ht="42" customHeight="1" x14ac:dyDescent="0.35">
      <c r="A153" s="42" t="str">
        <f t="array" ref="A153">IFERROR(INDEX('Agenda 2026'!A$2:A$376,MATCH(ROWS($A$7:$A153),'Agenda 2026'!$N$2:$N$376,0)),"")</f>
        <v/>
      </c>
      <c r="B153" s="43" t="str">
        <f t="array" ref="B153">IFERROR(INDEX('Agenda 2026'!P$2:P$376,MATCH(ROWS($A$7:$A153),'Agenda 2026'!$N$2:$N$376,0)),"")</f>
        <v/>
      </c>
      <c r="C153" s="44" t="str">
        <f t="array" ref="C153">IFERROR(INDEX('Agenda 2026'!B$2:B$376,MATCH(ROWS($A$7:$A153),'Agenda 2026'!$N$2:$N$376,0)),"")</f>
        <v/>
      </c>
      <c r="D153" s="44" t="str">
        <f t="array" ref="D153">IFERROR(INDEX('Agenda 2026'!C$2:C$376,MATCH(ROWS($A$7:$A153),'Agenda 2026'!$N$2:$N$376,0)),"")</f>
        <v/>
      </c>
      <c r="E153" s="44" t="str">
        <f t="array" ref="E153">IFERROR(INDEX('Agenda 2026'!D$2:D$376,MATCH(ROWS($A$7:$A153),'Agenda 2026'!$N$2:$N$376,0)),"")</f>
        <v/>
      </c>
      <c r="F153" s="45" t="str">
        <f t="array" ref="F153">IFERROR(INDEX('Agenda 2026'!E$2:E$376,MATCH(ROWS($A$7:$A153),'Agenda 2026'!$N$2:$N$376,0)),"")</f>
        <v/>
      </c>
      <c r="G153" s="44" t="str">
        <f t="array" ref="G153">IFERROR(INDEX('Agenda 2026'!F$2:F$376,MATCH(ROWS($A$7:$A153),'Agenda 2026'!$N$2:$N$376,0)),"")</f>
        <v/>
      </c>
      <c r="H153" s="44" t="str">
        <f t="array" ref="H153">IFERROR(INDEX('Agenda 2026'!G$2:G$376,MATCH(ROWS($A$7:$A153),'Agenda 2026'!$N$2:$N$376,0)),"")</f>
        <v/>
      </c>
      <c r="I153" s="46" t="str">
        <f t="array" ref="I153">IFERROR(INDEX('Agenda 2026'!H$2:H$376,MATCH(ROWS($A$7:$A153),'Agenda 2026'!$N$2:$N$376,0)),"")</f>
        <v/>
      </c>
      <c r="J153" s="47"/>
      <c r="K153" s="48" t="str">
        <f t="array" ref="K153">IFERROR(HYPERLINK(INDEX('Agenda 2026'!J$2:J$376,MATCH(ROWS($A$7:$A153),'Agenda 2026'!$N$2:$N$376,0)),"Ver fuente ↗"),"")</f>
        <v/>
      </c>
      <c r="L153" s="49" t="str">
        <f>IFERROR(INDEX('Agenda 2026'!K$2:K$376,MATCH(ROWS($A$7:$A153),'Agenda 2026'!$N$2:$N$376,0)),"")</f>
        <v/>
      </c>
      <c r="M153" s="50" t="str">
        <f t="array" ref="M153">IFERROR(INDEX('Agenda 2026'!O$2:O$376,MATCH(ROWS($A$7:$A153),'Agenda 2026'!$N$2:$N$376,0)),"")</f>
        <v/>
      </c>
    </row>
    <row r="154" spans="1:13" ht="42" customHeight="1" x14ac:dyDescent="0.35">
      <c r="A154" s="42" t="str">
        <f t="array" ref="A154">IFERROR(INDEX('Agenda 2026'!A$2:A$376,MATCH(ROWS($A$7:$A154),'Agenda 2026'!$N$2:$N$376,0)),"")</f>
        <v/>
      </c>
      <c r="B154" s="43" t="str">
        <f t="array" ref="B154">IFERROR(INDEX('Agenda 2026'!P$2:P$376,MATCH(ROWS($A$7:$A154),'Agenda 2026'!$N$2:$N$376,0)),"")</f>
        <v/>
      </c>
      <c r="C154" s="44" t="str">
        <f t="array" ref="C154">IFERROR(INDEX('Agenda 2026'!B$2:B$376,MATCH(ROWS($A$7:$A154),'Agenda 2026'!$N$2:$N$376,0)),"")</f>
        <v/>
      </c>
      <c r="D154" s="44" t="str">
        <f t="array" ref="D154">IFERROR(INDEX('Agenda 2026'!C$2:C$376,MATCH(ROWS($A$7:$A154),'Agenda 2026'!$N$2:$N$376,0)),"")</f>
        <v/>
      </c>
      <c r="E154" s="44" t="str">
        <f t="array" ref="E154">IFERROR(INDEX('Agenda 2026'!D$2:D$376,MATCH(ROWS($A$7:$A154),'Agenda 2026'!$N$2:$N$376,0)),"")</f>
        <v/>
      </c>
      <c r="F154" s="45" t="str">
        <f t="array" ref="F154">IFERROR(INDEX('Agenda 2026'!E$2:E$376,MATCH(ROWS($A$7:$A154),'Agenda 2026'!$N$2:$N$376,0)),"")</f>
        <v/>
      </c>
      <c r="G154" s="44" t="str">
        <f t="array" ref="G154">IFERROR(INDEX('Agenda 2026'!F$2:F$376,MATCH(ROWS($A$7:$A154),'Agenda 2026'!$N$2:$N$376,0)),"")</f>
        <v/>
      </c>
      <c r="H154" s="44" t="str">
        <f t="array" ref="H154">IFERROR(INDEX('Agenda 2026'!G$2:G$376,MATCH(ROWS($A$7:$A154),'Agenda 2026'!$N$2:$N$376,0)),"")</f>
        <v/>
      </c>
      <c r="I154" s="46" t="str">
        <f t="array" ref="I154">IFERROR(INDEX('Agenda 2026'!H$2:H$376,MATCH(ROWS($A$7:$A154),'Agenda 2026'!$N$2:$N$376,0)),"")</f>
        <v/>
      </c>
      <c r="J154" s="47"/>
      <c r="K154" s="48" t="str">
        <f t="array" ref="K154">IFERROR(HYPERLINK(INDEX('Agenda 2026'!J$2:J$376,MATCH(ROWS($A$7:$A154),'Agenda 2026'!$N$2:$N$376,0)),"Ver fuente ↗"),"")</f>
        <v/>
      </c>
      <c r="L154" s="49" t="str">
        <f>IFERROR(INDEX('Agenda 2026'!K$2:K$376,MATCH(ROWS($A$7:$A154),'Agenda 2026'!$N$2:$N$376,0)),"")</f>
        <v/>
      </c>
      <c r="M154" s="50" t="str">
        <f t="array" ref="M154">IFERROR(INDEX('Agenda 2026'!O$2:O$376,MATCH(ROWS($A$7:$A154),'Agenda 2026'!$N$2:$N$376,0)),"")</f>
        <v/>
      </c>
    </row>
    <row r="155" spans="1:13" ht="42" customHeight="1" x14ac:dyDescent="0.35">
      <c r="A155" s="42" t="str">
        <f t="array" ref="A155">IFERROR(INDEX('Agenda 2026'!A$2:A$376,MATCH(ROWS($A$7:$A155),'Agenda 2026'!$N$2:$N$376,0)),"")</f>
        <v/>
      </c>
      <c r="B155" s="43" t="str">
        <f t="array" ref="B155">IFERROR(INDEX('Agenda 2026'!P$2:P$376,MATCH(ROWS($A$7:$A155),'Agenda 2026'!$N$2:$N$376,0)),"")</f>
        <v/>
      </c>
      <c r="C155" s="44" t="str">
        <f t="array" ref="C155">IFERROR(INDEX('Agenda 2026'!B$2:B$376,MATCH(ROWS($A$7:$A155),'Agenda 2026'!$N$2:$N$376,0)),"")</f>
        <v/>
      </c>
      <c r="D155" s="44" t="str">
        <f t="array" ref="D155">IFERROR(INDEX('Agenda 2026'!C$2:C$376,MATCH(ROWS($A$7:$A155),'Agenda 2026'!$N$2:$N$376,0)),"")</f>
        <v/>
      </c>
      <c r="E155" s="44" t="str">
        <f t="array" ref="E155">IFERROR(INDEX('Agenda 2026'!D$2:D$376,MATCH(ROWS($A$7:$A155),'Agenda 2026'!$N$2:$N$376,0)),"")</f>
        <v/>
      </c>
      <c r="F155" s="45" t="str">
        <f t="array" ref="F155">IFERROR(INDEX('Agenda 2026'!E$2:E$376,MATCH(ROWS($A$7:$A155),'Agenda 2026'!$N$2:$N$376,0)),"")</f>
        <v/>
      </c>
      <c r="G155" s="44" t="str">
        <f t="array" ref="G155">IFERROR(INDEX('Agenda 2026'!F$2:F$376,MATCH(ROWS($A$7:$A155),'Agenda 2026'!$N$2:$N$376,0)),"")</f>
        <v/>
      </c>
      <c r="H155" s="44" t="str">
        <f t="array" ref="H155">IFERROR(INDEX('Agenda 2026'!G$2:G$376,MATCH(ROWS($A$7:$A155),'Agenda 2026'!$N$2:$N$376,0)),"")</f>
        <v/>
      </c>
      <c r="I155" s="46" t="str">
        <f t="array" ref="I155">IFERROR(INDEX('Agenda 2026'!H$2:H$376,MATCH(ROWS($A$7:$A155),'Agenda 2026'!$N$2:$N$376,0)),"")</f>
        <v/>
      </c>
      <c r="J155" s="47"/>
      <c r="K155" s="48" t="str">
        <f t="array" ref="K155">IFERROR(HYPERLINK(INDEX('Agenda 2026'!J$2:J$376,MATCH(ROWS($A$7:$A155),'Agenda 2026'!$N$2:$N$376,0)),"Ver fuente ↗"),"")</f>
        <v/>
      </c>
      <c r="L155" s="49" t="str">
        <f t="array" ref="L155">IFERROR(INDEX('Agenda 2026'!K$2:K$376,MATCH(ROWS($A$7:$A155),'Agenda 2026'!$N$2:$N$376,0)),"")</f>
        <v/>
      </c>
      <c r="M155" s="50" t="str">
        <f t="array" ref="M155">IFERROR(INDEX('Agenda 2026'!O$2:O$376,MATCH(ROWS($A$7:$A155),'Agenda 2026'!$N$2:$N$376,0)),"")</f>
        <v/>
      </c>
    </row>
    <row r="156" spans="1:13" ht="42" customHeight="1" x14ac:dyDescent="0.35">
      <c r="A156" s="42" t="str">
        <f t="array" ref="A156">IFERROR(INDEX('Agenda 2026'!A$2:A$376,MATCH(ROWS($A$7:$A156),'Agenda 2026'!$N$2:$N$376,0)),"")</f>
        <v/>
      </c>
      <c r="B156" s="43" t="str">
        <f t="array" ref="B156">IFERROR(INDEX('Agenda 2026'!P$2:P$376,MATCH(ROWS($A$7:$A156),'Agenda 2026'!$N$2:$N$376,0)),"")</f>
        <v/>
      </c>
      <c r="C156" s="44" t="str">
        <f t="array" ref="C156">IFERROR(INDEX('Agenda 2026'!B$2:B$376,MATCH(ROWS($A$7:$A156),'Agenda 2026'!$N$2:$N$376,0)),"")</f>
        <v/>
      </c>
      <c r="D156" s="44" t="str">
        <f t="array" ref="D156">IFERROR(INDEX('Agenda 2026'!C$2:C$376,MATCH(ROWS($A$7:$A156),'Agenda 2026'!$N$2:$N$376,0)),"")</f>
        <v/>
      </c>
      <c r="E156" s="44" t="str">
        <f t="array" ref="E156">IFERROR(INDEX('Agenda 2026'!D$2:D$376,MATCH(ROWS($A$7:$A156),'Agenda 2026'!$N$2:$N$376,0)),"")</f>
        <v/>
      </c>
      <c r="F156" s="45" t="str">
        <f t="array" ref="F156">IFERROR(INDEX('Agenda 2026'!E$2:E$376,MATCH(ROWS($A$7:$A156),'Agenda 2026'!$N$2:$N$376,0)),"")</f>
        <v/>
      </c>
      <c r="G156" s="44" t="str">
        <f t="array" ref="G156">IFERROR(INDEX('Agenda 2026'!F$2:F$376,MATCH(ROWS($A$7:$A156),'Agenda 2026'!$N$2:$N$376,0)),"")</f>
        <v/>
      </c>
      <c r="H156" s="44" t="str">
        <f t="array" ref="H156">IFERROR(INDEX('Agenda 2026'!G$2:G$376,MATCH(ROWS($A$7:$A156),'Agenda 2026'!$N$2:$N$376,0)),"")</f>
        <v/>
      </c>
      <c r="I156" s="46" t="str">
        <f t="array" ref="I156">IFERROR(INDEX('Agenda 2026'!H$2:H$376,MATCH(ROWS($A$7:$A156),'Agenda 2026'!$N$2:$N$376,0)),"")</f>
        <v/>
      </c>
      <c r="J156" s="47"/>
      <c r="K156" s="48" t="str">
        <f t="array" ref="K156">IFERROR(HYPERLINK(INDEX('Agenda 2026'!J$2:J$376,MATCH(ROWS($A$7:$A156),'Agenda 2026'!$N$2:$N$376,0)),"Ver fuente ↗"),"")</f>
        <v/>
      </c>
      <c r="L156" s="49" t="str">
        <f t="array" ref="L156">IFERROR(INDEX('Agenda 2026'!K$2:K$376,MATCH(ROWS($A$7:$A156),'Agenda 2026'!$N$2:$N$376,0)),"")</f>
        <v/>
      </c>
      <c r="M156" s="50" t="str">
        <f t="array" ref="M156">IFERROR(INDEX('Agenda 2026'!O$2:O$376,MATCH(ROWS($A$7:$A156),'Agenda 2026'!$N$2:$N$376,0)),"")</f>
        <v/>
      </c>
    </row>
    <row r="157" spans="1:13" ht="42" customHeight="1" x14ac:dyDescent="0.35">
      <c r="A157" s="42" t="str">
        <f t="array" ref="A157">IFERROR(INDEX('Agenda 2026'!A$2:A$376,MATCH(ROWS($A$7:$A157),'Agenda 2026'!$N$2:$N$376,0)),"")</f>
        <v/>
      </c>
      <c r="B157" s="43" t="str">
        <f t="array" ref="B157">IFERROR(INDEX('Agenda 2026'!P$2:P$376,MATCH(ROWS($A$7:$A157),'Agenda 2026'!$N$2:$N$376,0)),"")</f>
        <v/>
      </c>
      <c r="C157" s="44" t="str">
        <f t="array" ref="C157">IFERROR(INDEX('Agenda 2026'!B$2:B$376,MATCH(ROWS($A$7:$A157),'Agenda 2026'!$N$2:$N$376,0)),"")</f>
        <v/>
      </c>
      <c r="D157" s="44" t="str">
        <f t="array" ref="D157">IFERROR(INDEX('Agenda 2026'!C$2:C$376,MATCH(ROWS($A$7:$A157),'Agenda 2026'!$N$2:$N$376,0)),"")</f>
        <v/>
      </c>
      <c r="E157" s="44" t="str">
        <f t="array" ref="E157">IFERROR(INDEX('Agenda 2026'!D$2:D$376,MATCH(ROWS($A$7:$A157),'Agenda 2026'!$N$2:$N$376,0)),"")</f>
        <v/>
      </c>
      <c r="F157" s="45" t="str">
        <f t="array" ref="F157">IFERROR(INDEX('Agenda 2026'!E$2:E$376,MATCH(ROWS($A$7:$A157),'Agenda 2026'!$N$2:$N$376,0)),"")</f>
        <v/>
      </c>
      <c r="G157" s="44" t="str">
        <f t="array" ref="G157">IFERROR(INDEX('Agenda 2026'!F$2:F$376,MATCH(ROWS($A$7:$A157),'Agenda 2026'!$N$2:$N$376,0)),"")</f>
        <v/>
      </c>
      <c r="H157" s="44" t="str">
        <f t="array" ref="H157">IFERROR(INDEX('Agenda 2026'!G$2:G$376,MATCH(ROWS($A$7:$A157),'Agenda 2026'!$N$2:$N$376,0)),"")</f>
        <v/>
      </c>
      <c r="I157" s="46" t="str">
        <f t="array" ref="I157">IFERROR(INDEX('Agenda 2026'!H$2:H$376,MATCH(ROWS($A$7:$A157),'Agenda 2026'!$N$2:$N$376,0)),"")</f>
        <v/>
      </c>
      <c r="J157" s="47"/>
      <c r="K157" s="48" t="str">
        <f t="array" ref="K157">IFERROR(HYPERLINK(INDEX('Agenda 2026'!J$2:J$376,MATCH(ROWS($A$7:$A157),'Agenda 2026'!$N$2:$N$376,0)),"Ver fuente ↗"),"")</f>
        <v/>
      </c>
      <c r="L157" s="49" t="str">
        <f t="array" ref="L157">IFERROR(INDEX('Agenda 2026'!K$2:K$376,MATCH(ROWS($A$7:$A157),'Agenda 2026'!$N$2:$N$376,0)),"")</f>
        <v/>
      </c>
      <c r="M157" s="50" t="str">
        <f t="array" ref="M157">IFERROR(INDEX('Agenda 2026'!O$2:O$376,MATCH(ROWS($A$7:$A157),'Agenda 2026'!$N$2:$N$376,0)),"")</f>
        <v/>
      </c>
    </row>
    <row r="158" spans="1:13" ht="42" customHeight="1" x14ac:dyDescent="0.35">
      <c r="A158" s="42" t="str">
        <f t="array" ref="A158">IFERROR(INDEX('Agenda 2026'!A$2:A$376,MATCH(ROWS($A$7:$A158),'Agenda 2026'!$N$2:$N$376,0)),"")</f>
        <v/>
      </c>
      <c r="B158" s="43" t="str">
        <f t="array" ref="B158">IFERROR(INDEX('Agenda 2026'!P$2:P$376,MATCH(ROWS($A$7:$A158),'Agenda 2026'!$N$2:$N$376,0)),"")</f>
        <v/>
      </c>
      <c r="C158" s="44" t="str">
        <f t="array" ref="C158">IFERROR(INDEX('Agenda 2026'!B$2:B$376,MATCH(ROWS($A$7:$A158),'Agenda 2026'!$N$2:$N$376,0)),"")</f>
        <v/>
      </c>
      <c r="D158" s="44" t="str">
        <f t="array" ref="D158">IFERROR(INDEX('Agenda 2026'!C$2:C$376,MATCH(ROWS($A$7:$A158),'Agenda 2026'!$N$2:$N$376,0)),"")</f>
        <v/>
      </c>
      <c r="E158" s="44" t="str">
        <f t="array" ref="E158">IFERROR(INDEX('Agenda 2026'!D$2:D$376,MATCH(ROWS($A$7:$A158),'Agenda 2026'!$N$2:$N$376,0)),"")</f>
        <v/>
      </c>
      <c r="F158" s="45" t="str">
        <f t="array" ref="F158">IFERROR(INDEX('Agenda 2026'!E$2:E$376,MATCH(ROWS($A$7:$A158),'Agenda 2026'!$N$2:$N$376,0)),"")</f>
        <v/>
      </c>
      <c r="G158" s="44" t="str">
        <f t="array" ref="G158">IFERROR(INDEX('Agenda 2026'!F$2:F$376,MATCH(ROWS($A$7:$A158),'Agenda 2026'!$N$2:$N$376,0)),"")</f>
        <v/>
      </c>
      <c r="H158" s="44" t="str">
        <f t="array" ref="H158">IFERROR(INDEX('Agenda 2026'!G$2:G$376,MATCH(ROWS($A$7:$A158),'Agenda 2026'!$N$2:$N$376,0)),"")</f>
        <v/>
      </c>
      <c r="I158" s="46" t="str">
        <f t="array" ref="I158">IFERROR(INDEX('Agenda 2026'!H$2:H$376,MATCH(ROWS($A$7:$A158),'Agenda 2026'!$N$2:$N$376,0)),"")</f>
        <v/>
      </c>
      <c r="J158" s="47"/>
      <c r="K158" s="48" t="str">
        <f t="array" ref="K158">IFERROR(HYPERLINK(INDEX('Agenda 2026'!J$2:J$376,MATCH(ROWS($A$7:$A158),'Agenda 2026'!$N$2:$N$376,0)),"Ver fuente ↗"),"")</f>
        <v/>
      </c>
      <c r="L158" s="49" t="str">
        <f t="array" ref="L158">IFERROR(INDEX('Agenda 2026'!K$2:K$376,MATCH(ROWS($A$7:$A158),'Agenda 2026'!$N$2:$N$376,0)),"")</f>
        <v/>
      </c>
      <c r="M158" s="50" t="str">
        <f t="array" ref="M158">IFERROR(INDEX('Agenda 2026'!O$2:O$376,MATCH(ROWS($A$7:$A158),'Agenda 2026'!$N$2:$N$376,0)),"")</f>
        <v/>
      </c>
    </row>
    <row r="159" spans="1:13" ht="42" customHeight="1" x14ac:dyDescent="0.35">
      <c r="A159" s="42" t="str">
        <f t="array" ref="A159">IFERROR(INDEX('Agenda 2026'!A$2:A$376,MATCH(ROWS($A$7:$A159),'Agenda 2026'!$N$2:$N$376,0)),"")</f>
        <v/>
      </c>
      <c r="B159" s="43" t="str">
        <f t="array" ref="B159">IFERROR(INDEX('Agenda 2026'!P$2:P$376,MATCH(ROWS($A$7:$A159),'Agenda 2026'!$N$2:$N$376,0)),"")</f>
        <v/>
      </c>
      <c r="C159" s="44" t="str">
        <f t="array" ref="C159">IFERROR(INDEX('Agenda 2026'!B$2:B$376,MATCH(ROWS($A$7:$A159),'Agenda 2026'!$N$2:$N$376,0)),"")</f>
        <v/>
      </c>
      <c r="D159" s="44" t="str">
        <f t="array" ref="D159">IFERROR(INDEX('Agenda 2026'!C$2:C$376,MATCH(ROWS($A$7:$A159),'Agenda 2026'!$N$2:$N$376,0)),"")</f>
        <v/>
      </c>
      <c r="E159" s="44" t="str">
        <f t="array" ref="E159">IFERROR(INDEX('Agenda 2026'!D$2:D$376,MATCH(ROWS($A$7:$A159),'Agenda 2026'!$N$2:$N$376,0)),"")</f>
        <v/>
      </c>
      <c r="F159" s="45" t="str">
        <f t="array" ref="F159">IFERROR(INDEX('Agenda 2026'!E$2:E$376,MATCH(ROWS($A$7:$A159),'Agenda 2026'!$N$2:$N$376,0)),"")</f>
        <v/>
      </c>
      <c r="G159" s="44" t="str">
        <f t="array" ref="G159">IFERROR(INDEX('Agenda 2026'!F$2:F$376,MATCH(ROWS($A$7:$A159),'Agenda 2026'!$N$2:$N$376,0)),"")</f>
        <v/>
      </c>
      <c r="H159" s="44" t="str">
        <f t="array" ref="H159">IFERROR(INDEX('Agenda 2026'!G$2:G$376,MATCH(ROWS($A$7:$A159),'Agenda 2026'!$N$2:$N$376,0)),"")</f>
        <v/>
      </c>
      <c r="I159" s="46" t="str">
        <f t="array" ref="I159">IFERROR(INDEX('Agenda 2026'!H$2:H$376,MATCH(ROWS($A$7:$A159),'Agenda 2026'!$N$2:$N$376,0)),"")</f>
        <v/>
      </c>
      <c r="J159" s="47"/>
      <c r="K159" s="48" t="str">
        <f t="array" ref="K159">IFERROR(HYPERLINK(INDEX('Agenda 2026'!J$2:J$376,MATCH(ROWS($A$7:$A159),'Agenda 2026'!$N$2:$N$376,0)),"Ver fuente ↗"),"")</f>
        <v/>
      </c>
      <c r="L159" s="49" t="str">
        <f t="array" ref="L159">IFERROR(INDEX('Agenda 2026'!K$2:K$376,MATCH(ROWS($A$7:$A159),'Agenda 2026'!$N$2:$N$376,0)),"")</f>
        <v/>
      </c>
      <c r="M159" s="50" t="str">
        <f t="array" ref="M159">IFERROR(INDEX('Agenda 2026'!O$2:O$376,MATCH(ROWS($A$7:$A159),'Agenda 2026'!$N$2:$N$376,0)),"")</f>
        <v/>
      </c>
    </row>
    <row r="160" spans="1:13" ht="42" customHeight="1" x14ac:dyDescent="0.35">
      <c r="A160" s="42" t="str">
        <f t="array" ref="A160">IFERROR(INDEX('Agenda 2026'!A$2:A$376,MATCH(ROWS($A$7:$A160),'Agenda 2026'!$N$2:$N$376,0)),"")</f>
        <v/>
      </c>
      <c r="B160" s="43" t="str">
        <f t="array" ref="B160">IFERROR(INDEX('Agenda 2026'!P$2:P$376,MATCH(ROWS($A$7:$A160),'Agenda 2026'!$N$2:$N$376,0)),"")</f>
        <v/>
      </c>
      <c r="C160" s="44" t="str">
        <f t="array" ref="C160">IFERROR(INDEX('Agenda 2026'!B$2:B$376,MATCH(ROWS($A$7:$A160),'Agenda 2026'!$N$2:$N$376,0)),"")</f>
        <v/>
      </c>
      <c r="D160" s="44" t="str">
        <f t="array" ref="D160">IFERROR(INDEX('Agenda 2026'!C$2:C$376,MATCH(ROWS($A$7:$A160),'Agenda 2026'!$N$2:$N$376,0)),"")</f>
        <v/>
      </c>
      <c r="E160" s="44" t="str">
        <f t="array" ref="E160">IFERROR(INDEX('Agenda 2026'!D$2:D$376,MATCH(ROWS($A$7:$A160),'Agenda 2026'!$N$2:$N$376,0)),"")</f>
        <v/>
      </c>
      <c r="F160" s="45" t="str">
        <f t="array" ref="F160">IFERROR(INDEX('Agenda 2026'!E$2:E$376,MATCH(ROWS($A$7:$A160),'Agenda 2026'!$N$2:$N$376,0)),"")</f>
        <v/>
      </c>
      <c r="G160" s="44" t="str">
        <f t="array" ref="G160">IFERROR(INDEX('Agenda 2026'!F$2:F$376,MATCH(ROWS($A$7:$A160),'Agenda 2026'!$N$2:$N$376,0)),"")</f>
        <v/>
      </c>
      <c r="H160" s="44" t="str">
        <f t="array" ref="H160">IFERROR(INDEX('Agenda 2026'!G$2:G$376,MATCH(ROWS($A$7:$A160),'Agenda 2026'!$N$2:$N$376,0)),"")</f>
        <v/>
      </c>
      <c r="I160" s="46" t="str">
        <f t="array" ref="I160">IFERROR(INDEX('Agenda 2026'!H$2:H$376,MATCH(ROWS($A$7:$A160),'Agenda 2026'!$N$2:$N$376,0)),"")</f>
        <v/>
      </c>
      <c r="J160" s="47"/>
      <c r="K160" s="48" t="str">
        <f t="array" ref="K160">IFERROR(HYPERLINK(INDEX('Agenda 2026'!J$2:J$376,MATCH(ROWS($A$7:$A160),'Agenda 2026'!$N$2:$N$376,0)),"Ver fuente ↗"),"")</f>
        <v/>
      </c>
      <c r="L160" s="49" t="str">
        <f t="array" ref="L160">IFERROR(INDEX('Agenda 2026'!K$2:K$376,MATCH(ROWS($A$7:$A160),'Agenda 2026'!$N$2:$N$376,0)),"")</f>
        <v/>
      </c>
      <c r="M160" s="50" t="str">
        <f t="array" ref="M160">IFERROR(INDEX('Agenda 2026'!O$2:O$376,MATCH(ROWS($A$7:$A160),'Agenda 2026'!$N$2:$N$376,0)),"")</f>
        <v/>
      </c>
    </row>
    <row r="161" spans="1:13" ht="42" customHeight="1" x14ac:dyDescent="0.35">
      <c r="A161" s="42" t="str">
        <f t="array" ref="A161">IFERROR(INDEX('Agenda 2026'!A$2:A$376,MATCH(ROWS($A$7:$A161),'Agenda 2026'!$N$2:$N$376,0)),"")</f>
        <v/>
      </c>
      <c r="B161" s="43" t="str">
        <f t="array" ref="B161">IFERROR(INDEX('Agenda 2026'!P$2:P$376,MATCH(ROWS($A$7:$A161),'Agenda 2026'!$N$2:$N$376,0)),"")</f>
        <v/>
      </c>
      <c r="C161" s="44" t="str">
        <f t="array" ref="C161">IFERROR(INDEX('Agenda 2026'!B$2:B$376,MATCH(ROWS($A$7:$A161),'Agenda 2026'!$N$2:$N$376,0)),"")</f>
        <v/>
      </c>
      <c r="D161" s="44" t="str">
        <f t="array" ref="D161">IFERROR(INDEX('Agenda 2026'!C$2:C$376,MATCH(ROWS($A$7:$A161),'Agenda 2026'!$N$2:$N$376,0)),"")</f>
        <v/>
      </c>
      <c r="E161" s="44" t="str">
        <f t="array" ref="E161">IFERROR(INDEX('Agenda 2026'!D$2:D$376,MATCH(ROWS($A$7:$A161),'Agenda 2026'!$N$2:$N$376,0)),"")</f>
        <v/>
      </c>
      <c r="F161" s="45" t="str">
        <f t="array" ref="F161">IFERROR(INDEX('Agenda 2026'!E$2:E$376,MATCH(ROWS($A$7:$A161),'Agenda 2026'!$N$2:$N$376,0)),"")</f>
        <v/>
      </c>
      <c r="G161" s="44" t="str">
        <f t="array" ref="G161">IFERROR(INDEX('Agenda 2026'!F$2:F$376,MATCH(ROWS($A$7:$A161),'Agenda 2026'!$N$2:$N$376,0)),"")</f>
        <v/>
      </c>
      <c r="H161" s="44" t="str">
        <f t="array" ref="H161">IFERROR(INDEX('Agenda 2026'!G$2:G$376,MATCH(ROWS($A$7:$A161),'Agenda 2026'!$N$2:$N$376,0)),"")</f>
        <v/>
      </c>
      <c r="I161" s="46" t="str">
        <f t="array" ref="I161">IFERROR(INDEX('Agenda 2026'!H$2:H$376,MATCH(ROWS($A$7:$A161),'Agenda 2026'!$N$2:$N$376,0)),"")</f>
        <v/>
      </c>
      <c r="J161" s="47"/>
      <c r="K161" s="48" t="str">
        <f t="array" ref="K161">IFERROR(HYPERLINK(INDEX('Agenda 2026'!J$2:J$376,MATCH(ROWS($A$7:$A161),'Agenda 2026'!$N$2:$N$376,0)),"Ver fuente ↗"),"")</f>
        <v/>
      </c>
      <c r="L161" s="49" t="str">
        <f t="array" ref="L161">IFERROR(INDEX('Agenda 2026'!K$2:K$376,MATCH(ROWS($A$7:$A161),'Agenda 2026'!$N$2:$N$376,0)),"")</f>
        <v/>
      </c>
      <c r="M161" s="50" t="str">
        <f t="array" ref="M161">IFERROR(INDEX('Agenda 2026'!O$2:O$376,MATCH(ROWS($A$7:$A161),'Agenda 2026'!$N$2:$N$376,0)),"")</f>
        <v/>
      </c>
    </row>
    <row r="162" spans="1:13" ht="42" customHeight="1" x14ac:dyDescent="0.35">
      <c r="A162" s="42" t="str">
        <f t="array" ref="A162">IFERROR(INDEX('Agenda 2026'!A$2:A$376,MATCH(ROWS($A$7:$A162),'Agenda 2026'!$N$2:$N$376,0)),"")</f>
        <v/>
      </c>
      <c r="B162" s="43" t="str">
        <f t="array" ref="B162">IFERROR(INDEX('Agenda 2026'!P$2:P$376,MATCH(ROWS($A$7:$A162),'Agenda 2026'!$N$2:$N$376,0)),"")</f>
        <v/>
      </c>
      <c r="C162" s="44" t="str">
        <f t="array" ref="C162">IFERROR(INDEX('Agenda 2026'!B$2:B$376,MATCH(ROWS($A$7:$A162),'Agenda 2026'!$N$2:$N$376,0)),"")</f>
        <v/>
      </c>
      <c r="D162" s="44" t="str">
        <f t="array" ref="D162">IFERROR(INDEX('Agenda 2026'!C$2:C$376,MATCH(ROWS($A$7:$A162),'Agenda 2026'!$N$2:$N$376,0)),"")</f>
        <v/>
      </c>
      <c r="E162" s="44" t="str">
        <f t="array" ref="E162">IFERROR(INDEX('Agenda 2026'!D$2:D$376,MATCH(ROWS($A$7:$A162),'Agenda 2026'!$N$2:$N$376,0)),"")</f>
        <v/>
      </c>
      <c r="F162" s="45" t="str">
        <f t="array" ref="F162">IFERROR(INDEX('Agenda 2026'!E$2:E$376,MATCH(ROWS($A$7:$A162),'Agenda 2026'!$N$2:$N$376,0)),"")</f>
        <v/>
      </c>
      <c r="G162" s="44" t="str">
        <f t="array" ref="G162">IFERROR(INDEX('Agenda 2026'!F$2:F$376,MATCH(ROWS($A$7:$A162),'Agenda 2026'!$N$2:$N$376,0)),"")</f>
        <v/>
      </c>
      <c r="H162" s="44" t="str">
        <f t="array" ref="H162">IFERROR(INDEX('Agenda 2026'!G$2:G$376,MATCH(ROWS($A$7:$A162),'Agenda 2026'!$N$2:$N$376,0)),"")</f>
        <v/>
      </c>
      <c r="I162" s="46" t="str">
        <f t="array" ref="I162">IFERROR(INDEX('Agenda 2026'!H$2:H$376,MATCH(ROWS($A$7:$A162),'Agenda 2026'!$N$2:$N$376,0)),"")</f>
        <v/>
      </c>
      <c r="J162" s="47"/>
      <c r="K162" s="48" t="str">
        <f t="array" ref="K162">IFERROR(HYPERLINK(INDEX('Agenda 2026'!J$2:J$376,MATCH(ROWS($A$7:$A162),'Agenda 2026'!$N$2:$N$376,0)),"Ver fuente ↗"),"")</f>
        <v/>
      </c>
      <c r="L162" s="49" t="str">
        <f t="array" ref="L162">IFERROR(INDEX('Agenda 2026'!K$2:K$376,MATCH(ROWS($A$7:$A162),'Agenda 2026'!$N$2:$N$376,0)),"")</f>
        <v/>
      </c>
      <c r="M162" s="50" t="str">
        <f t="array" ref="M162">IFERROR(INDEX('Agenda 2026'!O$2:O$376,MATCH(ROWS($A$7:$A162),'Agenda 2026'!$N$2:$N$376,0)),"")</f>
        <v/>
      </c>
    </row>
    <row r="163" spans="1:13" ht="42" customHeight="1" x14ac:dyDescent="0.35">
      <c r="A163" s="42" t="str">
        <f t="array" ref="A163">IFERROR(INDEX('Agenda 2026'!A$2:A$376,MATCH(ROWS($A$7:$A163),'Agenda 2026'!$N$2:$N$376,0)),"")</f>
        <v/>
      </c>
      <c r="B163" s="43" t="str">
        <f t="array" ref="B163">IFERROR(INDEX('Agenda 2026'!P$2:P$376,MATCH(ROWS($A$7:$A163),'Agenda 2026'!$N$2:$N$376,0)),"")</f>
        <v/>
      </c>
      <c r="C163" s="44" t="str">
        <f t="array" ref="C163">IFERROR(INDEX('Agenda 2026'!B$2:B$376,MATCH(ROWS($A$7:$A163),'Agenda 2026'!$N$2:$N$376,0)),"")</f>
        <v/>
      </c>
      <c r="D163" s="44" t="str">
        <f t="array" ref="D163">IFERROR(INDEX('Agenda 2026'!C$2:C$376,MATCH(ROWS($A$7:$A163),'Agenda 2026'!$N$2:$N$376,0)),"")</f>
        <v/>
      </c>
      <c r="E163" s="44" t="str">
        <f t="array" ref="E163">IFERROR(INDEX('Agenda 2026'!D$2:D$376,MATCH(ROWS($A$7:$A163),'Agenda 2026'!$N$2:$N$376,0)),"")</f>
        <v/>
      </c>
      <c r="F163" s="45" t="str">
        <f t="array" ref="F163">IFERROR(INDEX('Agenda 2026'!E$2:E$376,MATCH(ROWS($A$7:$A163),'Agenda 2026'!$N$2:$N$376,0)),"")</f>
        <v/>
      </c>
      <c r="G163" s="44" t="str">
        <f t="array" ref="G163">IFERROR(INDEX('Agenda 2026'!F$2:F$376,MATCH(ROWS($A$7:$A163),'Agenda 2026'!$N$2:$N$376,0)),"")</f>
        <v/>
      </c>
      <c r="H163" s="44" t="str">
        <f t="array" ref="H163">IFERROR(INDEX('Agenda 2026'!G$2:G$376,MATCH(ROWS($A$7:$A163),'Agenda 2026'!$N$2:$N$376,0)),"")</f>
        <v/>
      </c>
      <c r="I163" s="46" t="str">
        <f t="array" ref="I163">IFERROR(INDEX('Agenda 2026'!H$2:H$376,MATCH(ROWS($A$7:$A163),'Agenda 2026'!$N$2:$N$376,0)),"")</f>
        <v/>
      </c>
      <c r="J163" s="47"/>
      <c r="K163" s="48" t="str">
        <f t="array" ref="K163">IFERROR(HYPERLINK(INDEX('Agenda 2026'!J$2:J$376,MATCH(ROWS($A$7:$A163),'Agenda 2026'!$N$2:$N$376,0)),"Ver fuente ↗"),"")</f>
        <v/>
      </c>
      <c r="L163" s="49" t="str">
        <f t="array" ref="L163">IFERROR(INDEX('Agenda 2026'!K$2:K$376,MATCH(ROWS($A$7:$A163),'Agenda 2026'!$N$2:$N$376,0)),"")</f>
        <v/>
      </c>
      <c r="M163" s="50" t="str">
        <f t="array" ref="M163">IFERROR(INDEX('Agenda 2026'!O$2:O$376,MATCH(ROWS($A$7:$A163),'Agenda 2026'!$N$2:$N$376,0)),"")</f>
        <v/>
      </c>
    </row>
    <row r="164" spans="1:13" ht="42" customHeight="1" x14ac:dyDescent="0.35">
      <c r="A164" s="42" t="str">
        <f t="array" ref="A164">IFERROR(INDEX('Agenda 2026'!A$2:A$376,MATCH(ROWS($A$7:$A164),'Agenda 2026'!$N$2:$N$376,0)),"")</f>
        <v/>
      </c>
      <c r="B164" s="43" t="str">
        <f t="array" ref="B164">IFERROR(INDEX('Agenda 2026'!P$2:P$376,MATCH(ROWS($A$7:$A164),'Agenda 2026'!$N$2:$N$376,0)),"")</f>
        <v/>
      </c>
      <c r="C164" s="44" t="str">
        <f t="array" ref="C164">IFERROR(INDEX('Agenda 2026'!B$2:B$376,MATCH(ROWS($A$7:$A164),'Agenda 2026'!$N$2:$N$376,0)),"")</f>
        <v/>
      </c>
      <c r="D164" s="44" t="str">
        <f t="array" ref="D164">IFERROR(INDEX('Agenda 2026'!C$2:C$376,MATCH(ROWS($A$7:$A164),'Agenda 2026'!$N$2:$N$376,0)),"")</f>
        <v/>
      </c>
      <c r="E164" s="44" t="str">
        <f t="array" ref="E164">IFERROR(INDEX('Agenda 2026'!D$2:D$376,MATCH(ROWS($A$7:$A164),'Agenda 2026'!$N$2:$N$376,0)),"")</f>
        <v/>
      </c>
      <c r="F164" s="45" t="str">
        <f t="array" ref="F164">IFERROR(INDEX('Agenda 2026'!E$2:E$376,MATCH(ROWS($A$7:$A164),'Agenda 2026'!$N$2:$N$376,0)),"")</f>
        <v/>
      </c>
      <c r="G164" s="44" t="str">
        <f t="array" ref="G164">IFERROR(INDEX('Agenda 2026'!F$2:F$376,MATCH(ROWS($A$7:$A164),'Agenda 2026'!$N$2:$N$376,0)),"")</f>
        <v/>
      </c>
      <c r="H164" s="44" t="str">
        <f t="array" ref="H164">IFERROR(INDEX('Agenda 2026'!G$2:G$376,MATCH(ROWS($A$7:$A164),'Agenda 2026'!$N$2:$N$376,0)),"")</f>
        <v/>
      </c>
      <c r="I164" s="46" t="str">
        <f t="array" ref="I164">IFERROR(INDEX('Agenda 2026'!H$2:H$376,MATCH(ROWS($A$7:$A164),'Agenda 2026'!$N$2:$N$376,0)),"")</f>
        <v/>
      </c>
      <c r="J164" s="47"/>
      <c r="K164" s="48" t="str">
        <f t="array" ref="K164">IFERROR(HYPERLINK(INDEX('Agenda 2026'!J$2:J$376,MATCH(ROWS($A$7:$A164),'Agenda 2026'!$N$2:$N$376,0)),"Ver fuente ↗"),"")</f>
        <v/>
      </c>
      <c r="L164" s="49" t="str">
        <f t="array" ref="L164">IFERROR(INDEX('Agenda 2026'!K$2:K$376,MATCH(ROWS($A$7:$A164),'Agenda 2026'!$N$2:$N$376,0)),"")</f>
        <v/>
      </c>
      <c r="M164" s="50" t="str">
        <f t="array" ref="M164">IFERROR(INDEX('Agenda 2026'!O$2:O$376,MATCH(ROWS($A$7:$A164),'Agenda 2026'!$N$2:$N$376,0)),"")</f>
        <v/>
      </c>
    </row>
    <row r="165" spans="1:13" ht="42" customHeight="1" x14ac:dyDescent="0.35">
      <c r="A165" s="42" t="str">
        <f t="array" ref="A165">IFERROR(INDEX('Agenda 2026'!A$2:A$376,MATCH(ROWS($A$7:$A165),'Agenda 2026'!$N$2:$N$376,0)),"")</f>
        <v/>
      </c>
      <c r="B165" s="43" t="str">
        <f t="array" ref="B165">IFERROR(INDEX('Agenda 2026'!P$2:P$376,MATCH(ROWS($A$7:$A165),'Agenda 2026'!$N$2:$N$376,0)),"")</f>
        <v/>
      </c>
      <c r="C165" s="44" t="str">
        <f t="array" ref="C165">IFERROR(INDEX('Agenda 2026'!B$2:B$376,MATCH(ROWS($A$7:$A165),'Agenda 2026'!$N$2:$N$376,0)),"")</f>
        <v/>
      </c>
      <c r="D165" s="44" t="str">
        <f t="array" ref="D165">IFERROR(INDEX('Agenda 2026'!C$2:C$376,MATCH(ROWS($A$7:$A165),'Agenda 2026'!$N$2:$N$376,0)),"")</f>
        <v/>
      </c>
      <c r="E165" s="44" t="str">
        <f t="array" ref="E165">IFERROR(INDEX('Agenda 2026'!D$2:D$376,MATCH(ROWS($A$7:$A165),'Agenda 2026'!$N$2:$N$376,0)),"")</f>
        <v/>
      </c>
      <c r="F165" s="45" t="str">
        <f t="array" ref="F165">IFERROR(INDEX('Agenda 2026'!E$2:E$376,MATCH(ROWS($A$7:$A165),'Agenda 2026'!$N$2:$N$376,0)),"")</f>
        <v/>
      </c>
      <c r="G165" s="44" t="str">
        <f t="array" ref="G165">IFERROR(INDEX('Agenda 2026'!F$2:F$376,MATCH(ROWS($A$7:$A165),'Agenda 2026'!$N$2:$N$376,0)),"")</f>
        <v/>
      </c>
      <c r="H165" s="44" t="str">
        <f t="array" ref="H165">IFERROR(INDEX('Agenda 2026'!G$2:G$376,MATCH(ROWS($A$7:$A165),'Agenda 2026'!$N$2:$N$376,0)),"")</f>
        <v/>
      </c>
      <c r="I165" s="46" t="str">
        <f t="array" ref="I165">IFERROR(INDEX('Agenda 2026'!H$2:H$376,MATCH(ROWS($A$7:$A165),'Agenda 2026'!$N$2:$N$376,0)),"")</f>
        <v/>
      </c>
      <c r="J165" s="47"/>
      <c r="K165" s="48" t="str">
        <f t="array" ref="K165">IFERROR(HYPERLINK(INDEX('Agenda 2026'!J$2:J$376,MATCH(ROWS($A$7:$A165),'Agenda 2026'!$N$2:$N$376,0)),"Ver fuente ↗"),"")</f>
        <v/>
      </c>
      <c r="L165" s="49" t="str">
        <f t="array" ref="L165">IFERROR(INDEX('Agenda 2026'!K$2:K$376,MATCH(ROWS($A$7:$A165),'Agenda 2026'!$N$2:$N$376,0)),"")</f>
        <v/>
      </c>
      <c r="M165" s="50" t="str">
        <f t="array" ref="M165">IFERROR(INDEX('Agenda 2026'!O$2:O$376,MATCH(ROWS($A$7:$A165),'Agenda 2026'!$N$2:$N$376,0)),"")</f>
        <v/>
      </c>
    </row>
    <row r="166" spans="1:13" ht="42" customHeight="1" x14ac:dyDescent="0.35">
      <c r="A166" s="42" t="str">
        <f t="array" ref="A166">IFERROR(INDEX('Agenda 2026'!A$2:A$376,MATCH(ROWS($A$7:$A166),'Agenda 2026'!$N$2:$N$376,0)),"")</f>
        <v/>
      </c>
      <c r="B166" s="43" t="str">
        <f t="array" ref="B166">IFERROR(INDEX('Agenda 2026'!P$2:P$376,MATCH(ROWS($A$7:$A166),'Agenda 2026'!$N$2:$N$376,0)),"")</f>
        <v/>
      </c>
      <c r="C166" s="44" t="str">
        <f t="array" ref="C166">IFERROR(INDEX('Agenda 2026'!B$2:B$376,MATCH(ROWS($A$7:$A166),'Agenda 2026'!$N$2:$N$376,0)),"")</f>
        <v/>
      </c>
      <c r="D166" s="44" t="str">
        <f t="array" ref="D166">IFERROR(INDEX('Agenda 2026'!C$2:C$376,MATCH(ROWS($A$7:$A166),'Agenda 2026'!$N$2:$N$376,0)),"")</f>
        <v/>
      </c>
      <c r="E166" s="44" t="str">
        <f t="array" ref="E166">IFERROR(INDEX('Agenda 2026'!D$2:D$376,MATCH(ROWS($A$7:$A166),'Agenda 2026'!$N$2:$N$376,0)),"")</f>
        <v/>
      </c>
      <c r="F166" s="45" t="str">
        <f t="array" ref="F166">IFERROR(INDEX('Agenda 2026'!E$2:E$376,MATCH(ROWS($A$7:$A166),'Agenda 2026'!$N$2:$N$376,0)),"")</f>
        <v/>
      </c>
      <c r="G166" s="44" t="str">
        <f t="array" ref="G166">IFERROR(INDEX('Agenda 2026'!F$2:F$376,MATCH(ROWS($A$7:$A166),'Agenda 2026'!$N$2:$N$376,0)),"")</f>
        <v/>
      </c>
      <c r="H166" s="44" t="str">
        <f t="array" ref="H166">IFERROR(INDEX('Agenda 2026'!G$2:G$376,MATCH(ROWS($A$7:$A166),'Agenda 2026'!$N$2:$N$376,0)),"")</f>
        <v/>
      </c>
      <c r="I166" s="46" t="str">
        <f t="array" ref="I166">IFERROR(INDEX('Agenda 2026'!H$2:H$376,MATCH(ROWS($A$7:$A166),'Agenda 2026'!$N$2:$N$376,0)),"")</f>
        <v/>
      </c>
      <c r="J166" s="47"/>
      <c r="K166" s="48" t="str">
        <f t="array" ref="K166">IFERROR(HYPERLINK(INDEX('Agenda 2026'!J$2:J$376,MATCH(ROWS($A$7:$A166),'Agenda 2026'!$N$2:$N$376,0)),"Ver fuente ↗"),"")</f>
        <v/>
      </c>
      <c r="L166" s="49" t="str">
        <f t="array" ref="L166">IFERROR(INDEX('Agenda 2026'!K$2:K$376,MATCH(ROWS($A$7:$A166),'Agenda 2026'!$N$2:$N$376,0)),"")</f>
        <v/>
      </c>
      <c r="M166" s="50" t="str">
        <f t="array" ref="M166">IFERROR(INDEX('Agenda 2026'!O$2:O$376,MATCH(ROWS($A$7:$A166),'Agenda 2026'!$N$2:$N$376,0)),"")</f>
        <v/>
      </c>
    </row>
    <row r="167" spans="1:13" ht="42" customHeight="1" x14ac:dyDescent="0.35">
      <c r="A167" s="42" t="str">
        <f t="array" ref="A167">IFERROR(INDEX('Agenda 2026'!A$2:A$376,MATCH(ROWS($A$7:$A167),'Agenda 2026'!$N$2:$N$376,0)),"")</f>
        <v/>
      </c>
      <c r="B167" s="43" t="str">
        <f t="array" ref="B167">IFERROR(INDEX('Agenda 2026'!P$2:P$376,MATCH(ROWS($A$7:$A167),'Agenda 2026'!$N$2:$N$376,0)),"")</f>
        <v/>
      </c>
      <c r="C167" s="44" t="str">
        <f t="array" ref="C167">IFERROR(INDEX('Agenda 2026'!B$2:B$376,MATCH(ROWS($A$7:$A167),'Agenda 2026'!$N$2:$N$376,0)),"")</f>
        <v/>
      </c>
      <c r="D167" s="44" t="str">
        <f t="array" ref="D167">IFERROR(INDEX('Agenda 2026'!C$2:C$376,MATCH(ROWS($A$7:$A167),'Agenda 2026'!$N$2:$N$376,0)),"")</f>
        <v/>
      </c>
      <c r="E167" s="44" t="str">
        <f t="array" ref="E167">IFERROR(INDEX('Agenda 2026'!D$2:D$376,MATCH(ROWS($A$7:$A167),'Agenda 2026'!$N$2:$N$376,0)),"")</f>
        <v/>
      </c>
      <c r="F167" s="45" t="str">
        <f t="array" ref="F167">IFERROR(INDEX('Agenda 2026'!E$2:E$376,MATCH(ROWS($A$7:$A167),'Agenda 2026'!$N$2:$N$376,0)),"")</f>
        <v/>
      </c>
      <c r="G167" s="44" t="str">
        <f t="array" ref="G167">IFERROR(INDEX('Agenda 2026'!F$2:F$376,MATCH(ROWS($A$7:$A167),'Agenda 2026'!$N$2:$N$376,0)),"")</f>
        <v/>
      </c>
      <c r="H167" s="44" t="str">
        <f t="array" ref="H167">IFERROR(INDEX('Agenda 2026'!G$2:G$376,MATCH(ROWS($A$7:$A167),'Agenda 2026'!$N$2:$N$376,0)),"")</f>
        <v/>
      </c>
      <c r="I167" s="46" t="str">
        <f t="array" ref="I167">IFERROR(INDEX('Agenda 2026'!H$2:H$376,MATCH(ROWS($A$7:$A167),'Agenda 2026'!$N$2:$N$376,0)),"")</f>
        <v/>
      </c>
      <c r="J167" s="47"/>
      <c r="K167" s="48" t="str">
        <f t="array" ref="K167">IFERROR(HYPERLINK(INDEX('Agenda 2026'!J$2:J$376,MATCH(ROWS($A$7:$A167),'Agenda 2026'!$N$2:$N$376,0)),"Ver fuente ↗"),"")</f>
        <v/>
      </c>
      <c r="L167" s="49" t="str">
        <f t="array" ref="L167">IFERROR(INDEX('Agenda 2026'!K$2:K$376,MATCH(ROWS($A$7:$A167),'Agenda 2026'!$N$2:$N$376,0)),"")</f>
        <v/>
      </c>
      <c r="M167" s="50" t="str">
        <f t="array" ref="M167">IFERROR(INDEX('Agenda 2026'!O$2:O$376,MATCH(ROWS($A$7:$A167),'Agenda 2026'!$N$2:$N$376,0)),"")</f>
        <v/>
      </c>
    </row>
    <row r="168" spans="1:13" ht="42" customHeight="1" x14ac:dyDescent="0.35">
      <c r="A168" s="42" t="str">
        <f t="array" ref="A168">IFERROR(INDEX('Agenda 2026'!A$2:A$376,MATCH(ROWS($A$7:$A168),'Agenda 2026'!$N$2:$N$376,0)),"")</f>
        <v/>
      </c>
      <c r="B168" s="43" t="str">
        <f t="array" ref="B168">IFERROR(INDEX('Agenda 2026'!P$2:P$376,MATCH(ROWS($A$7:$A168),'Agenda 2026'!$N$2:$N$376,0)),"")</f>
        <v/>
      </c>
      <c r="C168" s="44" t="str">
        <f t="array" ref="C168">IFERROR(INDEX('Agenda 2026'!B$2:B$376,MATCH(ROWS($A$7:$A168),'Agenda 2026'!$N$2:$N$376,0)),"")</f>
        <v/>
      </c>
      <c r="D168" s="44" t="str">
        <f t="array" ref="D168">IFERROR(INDEX('Agenda 2026'!C$2:C$376,MATCH(ROWS($A$7:$A168),'Agenda 2026'!$N$2:$N$376,0)),"")</f>
        <v/>
      </c>
      <c r="E168" s="44" t="str">
        <f t="array" ref="E168">IFERROR(INDEX('Agenda 2026'!D$2:D$376,MATCH(ROWS($A$7:$A168),'Agenda 2026'!$N$2:$N$376,0)),"")</f>
        <v/>
      </c>
      <c r="F168" s="45" t="str">
        <f t="array" ref="F168">IFERROR(INDEX('Agenda 2026'!E$2:E$376,MATCH(ROWS($A$7:$A168),'Agenda 2026'!$N$2:$N$376,0)),"")</f>
        <v/>
      </c>
      <c r="G168" s="44" t="str">
        <f t="array" ref="G168">IFERROR(INDEX('Agenda 2026'!F$2:F$376,MATCH(ROWS($A$7:$A168),'Agenda 2026'!$N$2:$N$376,0)),"")</f>
        <v/>
      </c>
      <c r="H168" s="44" t="str">
        <f t="array" ref="H168">IFERROR(INDEX('Agenda 2026'!G$2:G$376,MATCH(ROWS($A$7:$A168),'Agenda 2026'!$N$2:$N$376,0)),"")</f>
        <v/>
      </c>
      <c r="I168" s="46" t="str">
        <f t="array" ref="I168">IFERROR(INDEX('Agenda 2026'!H$2:H$376,MATCH(ROWS($A$7:$A168),'Agenda 2026'!$N$2:$N$376,0)),"")</f>
        <v/>
      </c>
      <c r="J168" s="47"/>
      <c r="K168" s="48" t="str">
        <f t="array" ref="K168">IFERROR(HYPERLINK(INDEX('Agenda 2026'!J$2:J$376,MATCH(ROWS($A$7:$A168),'Agenda 2026'!$N$2:$N$376,0)),"Ver fuente ↗"),"")</f>
        <v/>
      </c>
      <c r="L168" s="49" t="str">
        <f t="array" ref="L168">IFERROR(INDEX('Agenda 2026'!K$2:K$376,MATCH(ROWS($A$7:$A168),'Agenda 2026'!$N$2:$N$376,0)),"")</f>
        <v/>
      </c>
      <c r="M168" s="50" t="str">
        <f t="array" ref="M168">IFERROR(INDEX('Agenda 2026'!O$2:O$376,MATCH(ROWS($A$7:$A168),'Agenda 2026'!$N$2:$N$376,0)),"")</f>
        <v/>
      </c>
    </row>
    <row r="169" spans="1:13" ht="42" customHeight="1" x14ac:dyDescent="0.35">
      <c r="A169" s="42" t="str">
        <f t="array" ref="A169">IFERROR(INDEX('Agenda 2026'!A$2:A$376,MATCH(ROWS($A$7:$A169),'Agenda 2026'!$N$2:$N$376,0)),"")</f>
        <v/>
      </c>
      <c r="B169" s="43" t="str">
        <f t="array" ref="B169">IFERROR(INDEX('Agenda 2026'!P$2:P$376,MATCH(ROWS($A$7:$A169),'Agenda 2026'!$N$2:$N$376,0)),"")</f>
        <v/>
      </c>
      <c r="C169" s="44" t="str">
        <f t="array" ref="C169">IFERROR(INDEX('Agenda 2026'!B$2:B$376,MATCH(ROWS($A$7:$A169),'Agenda 2026'!$N$2:$N$376,0)),"")</f>
        <v/>
      </c>
      <c r="D169" s="44" t="str">
        <f t="array" ref="D169">IFERROR(INDEX('Agenda 2026'!C$2:C$376,MATCH(ROWS($A$7:$A169),'Agenda 2026'!$N$2:$N$376,0)),"")</f>
        <v/>
      </c>
      <c r="E169" s="44" t="str">
        <f t="array" ref="E169">IFERROR(INDEX('Agenda 2026'!D$2:D$376,MATCH(ROWS($A$7:$A169),'Agenda 2026'!$N$2:$N$376,0)),"")</f>
        <v/>
      </c>
      <c r="F169" s="45" t="str">
        <f t="array" ref="F169">IFERROR(INDEX('Agenda 2026'!E$2:E$376,MATCH(ROWS($A$7:$A169),'Agenda 2026'!$N$2:$N$376,0)),"")</f>
        <v/>
      </c>
      <c r="G169" s="44" t="str">
        <f t="array" ref="G169">IFERROR(INDEX('Agenda 2026'!F$2:F$376,MATCH(ROWS($A$7:$A169),'Agenda 2026'!$N$2:$N$376,0)),"")</f>
        <v/>
      </c>
      <c r="H169" s="44" t="str">
        <f t="array" ref="H169">IFERROR(INDEX('Agenda 2026'!G$2:G$376,MATCH(ROWS($A$7:$A169),'Agenda 2026'!$N$2:$N$376,0)),"")</f>
        <v/>
      </c>
      <c r="I169" s="46" t="str">
        <f t="array" ref="I169">IFERROR(INDEX('Agenda 2026'!H$2:H$376,MATCH(ROWS($A$7:$A169),'Agenda 2026'!$N$2:$N$376,0)),"")</f>
        <v/>
      </c>
      <c r="J169" s="47"/>
      <c r="K169" s="48" t="str">
        <f t="array" ref="K169">IFERROR(HYPERLINK(INDEX('Agenda 2026'!J$2:J$376,MATCH(ROWS($A$7:$A169),'Agenda 2026'!$N$2:$N$376,0)),"Ver fuente ↗"),"")</f>
        <v/>
      </c>
      <c r="L169" s="49" t="str">
        <f t="array" ref="L169">IFERROR(INDEX('Agenda 2026'!K$2:K$376,MATCH(ROWS($A$7:$A169),'Agenda 2026'!$N$2:$N$376,0)),"")</f>
        <v/>
      </c>
      <c r="M169" s="50" t="str">
        <f t="array" ref="M169">IFERROR(INDEX('Agenda 2026'!O$2:O$376,MATCH(ROWS($A$7:$A169),'Agenda 2026'!$N$2:$N$376,0)),"")</f>
        <v/>
      </c>
    </row>
    <row r="170" spans="1:13" ht="42" customHeight="1" x14ac:dyDescent="0.35">
      <c r="A170" s="42" t="str">
        <f t="array" ref="A170">IFERROR(INDEX('Agenda 2026'!A$2:A$376,MATCH(ROWS($A$7:$A170),'Agenda 2026'!$N$2:$N$376,0)),"")</f>
        <v/>
      </c>
      <c r="B170" s="43" t="str">
        <f t="array" ref="B170">IFERROR(INDEX('Agenda 2026'!P$2:P$376,MATCH(ROWS($A$7:$A170),'Agenda 2026'!$N$2:$N$376,0)),"")</f>
        <v/>
      </c>
      <c r="C170" s="44" t="str">
        <f t="array" ref="C170">IFERROR(INDEX('Agenda 2026'!B$2:B$376,MATCH(ROWS($A$7:$A170),'Agenda 2026'!$N$2:$N$376,0)),"")</f>
        <v/>
      </c>
      <c r="D170" s="44" t="str">
        <f t="array" ref="D170">IFERROR(INDEX('Agenda 2026'!C$2:C$376,MATCH(ROWS($A$7:$A170),'Agenda 2026'!$N$2:$N$376,0)),"")</f>
        <v/>
      </c>
      <c r="E170" s="44" t="str">
        <f t="array" ref="E170">IFERROR(INDEX('Agenda 2026'!D$2:D$376,MATCH(ROWS($A$7:$A170),'Agenda 2026'!$N$2:$N$376,0)),"")</f>
        <v/>
      </c>
      <c r="F170" s="45" t="str">
        <f t="array" ref="F170">IFERROR(INDEX('Agenda 2026'!E$2:E$376,MATCH(ROWS($A$7:$A170),'Agenda 2026'!$N$2:$N$376,0)),"")</f>
        <v/>
      </c>
      <c r="G170" s="44" t="str">
        <f t="array" ref="G170">IFERROR(INDEX('Agenda 2026'!F$2:F$376,MATCH(ROWS($A$7:$A170),'Agenda 2026'!$N$2:$N$376,0)),"")</f>
        <v/>
      </c>
      <c r="H170" s="44" t="str">
        <f t="array" ref="H170">IFERROR(INDEX('Agenda 2026'!G$2:G$376,MATCH(ROWS($A$7:$A170),'Agenda 2026'!$N$2:$N$376,0)),"")</f>
        <v/>
      </c>
      <c r="I170" s="46" t="str">
        <f t="array" ref="I170">IFERROR(INDEX('Agenda 2026'!H$2:H$376,MATCH(ROWS($A$7:$A170),'Agenda 2026'!$N$2:$N$376,0)),"")</f>
        <v/>
      </c>
      <c r="J170" s="47"/>
      <c r="K170" s="48" t="str">
        <f t="array" ref="K170">IFERROR(HYPERLINK(INDEX('Agenda 2026'!J$2:J$376,MATCH(ROWS($A$7:$A170),'Agenda 2026'!$N$2:$N$376,0)),"Ver fuente ↗"),"")</f>
        <v/>
      </c>
      <c r="L170" s="49" t="str">
        <f t="array" ref="L170">IFERROR(INDEX('Agenda 2026'!K$2:K$376,MATCH(ROWS($A$7:$A170),'Agenda 2026'!$N$2:$N$376,0)),"")</f>
        <v/>
      </c>
      <c r="M170" s="50" t="str">
        <f t="array" ref="M170">IFERROR(INDEX('Agenda 2026'!O$2:O$376,MATCH(ROWS($A$7:$A170),'Agenda 2026'!$N$2:$N$376,0)),"")</f>
        <v/>
      </c>
    </row>
    <row r="171" spans="1:13" ht="42" customHeight="1" x14ac:dyDescent="0.35">
      <c r="A171" s="42" t="str">
        <f t="array" ref="A171">IFERROR(INDEX('Agenda 2026'!A$2:A$376,MATCH(ROWS($A$7:$A171),'Agenda 2026'!$N$2:$N$376,0)),"")</f>
        <v/>
      </c>
      <c r="B171" s="43" t="str">
        <f t="array" ref="B171">IFERROR(INDEX('Agenda 2026'!P$2:P$376,MATCH(ROWS($A$7:$A171),'Agenda 2026'!$N$2:$N$376,0)),"")</f>
        <v/>
      </c>
      <c r="C171" s="44" t="str">
        <f t="array" ref="C171">IFERROR(INDEX('Agenda 2026'!B$2:B$376,MATCH(ROWS($A$7:$A171),'Agenda 2026'!$N$2:$N$376,0)),"")</f>
        <v/>
      </c>
      <c r="D171" s="44" t="str">
        <f t="array" ref="D171">IFERROR(INDEX('Agenda 2026'!C$2:C$376,MATCH(ROWS($A$7:$A171),'Agenda 2026'!$N$2:$N$376,0)),"")</f>
        <v/>
      </c>
      <c r="E171" s="44" t="str">
        <f t="array" ref="E171">IFERROR(INDEX('Agenda 2026'!D$2:D$376,MATCH(ROWS($A$7:$A171),'Agenda 2026'!$N$2:$N$376,0)),"")</f>
        <v/>
      </c>
      <c r="F171" s="45" t="str">
        <f t="array" ref="F171">IFERROR(INDEX('Agenda 2026'!E$2:E$376,MATCH(ROWS($A$7:$A171),'Agenda 2026'!$N$2:$N$376,0)),"")</f>
        <v/>
      </c>
      <c r="G171" s="44" t="str">
        <f t="array" ref="G171">IFERROR(INDEX('Agenda 2026'!F$2:F$376,MATCH(ROWS($A$7:$A171),'Agenda 2026'!$N$2:$N$376,0)),"")</f>
        <v/>
      </c>
      <c r="H171" s="44" t="str">
        <f t="array" ref="H171">IFERROR(INDEX('Agenda 2026'!G$2:G$376,MATCH(ROWS($A$7:$A171),'Agenda 2026'!$N$2:$N$376,0)),"")</f>
        <v/>
      </c>
      <c r="I171" s="46" t="str">
        <f t="array" ref="I171">IFERROR(INDEX('Agenda 2026'!H$2:H$376,MATCH(ROWS($A$7:$A171),'Agenda 2026'!$N$2:$N$376,0)),"")</f>
        <v/>
      </c>
      <c r="J171" s="47"/>
      <c r="K171" s="48" t="str">
        <f t="array" ref="K171">IFERROR(HYPERLINK(INDEX('Agenda 2026'!J$2:J$376,MATCH(ROWS($A$7:$A171),'Agenda 2026'!$N$2:$N$376,0)),"Ver fuente ↗"),"")</f>
        <v/>
      </c>
      <c r="L171" s="49" t="str">
        <f t="array" ref="L171">IFERROR(INDEX('Agenda 2026'!K$2:K$376,MATCH(ROWS($A$7:$A171),'Agenda 2026'!$N$2:$N$376,0)),"")</f>
        <v/>
      </c>
      <c r="M171" s="50" t="str">
        <f t="array" ref="M171">IFERROR(INDEX('Agenda 2026'!O$2:O$376,MATCH(ROWS($A$7:$A171),'Agenda 2026'!$N$2:$N$376,0)),"")</f>
        <v/>
      </c>
    </row>
    <row r="172" spans="1:13" ht="42" customHeight="1" x14ac:dyDescent="0.35">
      <c r="A172" s="42" t="str">
        <f t="array" ref="A172">IFERROR(INDEX('Agenda 2026'!A$2:A$376,MATCH(ROWS($A$7:$A172),'Agenda 2026'!$N$2:$N$376,0)),"")</f>
        <v/>
      </c>
      <c r="B172" s="43" t="str">
        <f t="array" ref="B172">IFERROR(INDEX('Agenda 2026'!P$2:P$376,MATCH(ROWS($A$7:$A172),'Agenda 2026'!$N$2:$N$376,0)),"")</f>
        <v/>
      </c>
      <c r="C172" s="44" t="str">
        <f t="array" ref="C172">IFERROR(INDEX('Agenda 2026'!B$2:B$376,MATCH(ROWS($A$7:$A172),'Agenda 2026'!$N$2:$N$376,0)),"")</f>
        <v/>
      </c>
      <c r="D172" s="44" t="str">
        <f t="array" ref="D172">IFERROR(INDEX('Agenda 2026'!C$2:C$376,MATCH(ROWS($A$7:$A172),'Agenda 2026'!$N$2:$N$376,0)),"")</f>
        <v/>
      </c>
      <c r="E172" s="44" t="str">
        <f t="array" ref="E172">IFERROR(INDEX('Agenda 2026'!D$2:D$376,MATCH(ROWS($A$7:$A172),'Agenda 2026'!$N$2:$N$376,0)),"")</f>
        <v/>
      </c>
      <c r="F172" s="45" t="str">
        <f t="array" ref="F172">IFERROR(INDEX('Agenda 2026'!E$2:E$376,MATCH(ROWS($A$7:$A172),'Agenda 2026'!$N$2:$N$376,0)),"")</f>
        <v/>
      </c>
      <c r="G172" s="44" t="str">
        <f t="array" ref="G172">IFERROR(INDEX('Agenda 2026'!F$2:F$376,MATCH(ROWS($A$7:$A172),'Agenda 2026'!$N$2:$N$376,0)),"")</f>
        <v/>
      </c>
      <c r="H172" s="44" t="str">
        <f t="array" ref="H172">IFERROR(INDEX('Agenda 2026'!G$2:G$376,MATCH(ROWS($A$7:$A172),'Agenda 2026'!$N$2:$N$376,0)),"")</f>
        <v/>
      </c>
      <c r="I172" s="46" t="str">
        <f t="array" ref="I172">IFERROR(INDEX('Agenda 2026'!H$2:H$376,MATCH(ROWS($A$7:$A172),'Agenda 2026'!$N$2:$N$376,0)),"")</f>
        <v/>
      </c>
      <c r="J172" s="47"/>
      <c r="K172" s="48" t="str">
        <f t="array" ref="K172">IFERROR(HYPERLINK(INDEX('Agenda 2026'!J$2:J$376,MATCH(ROWS($A$7:$A172),'Agenda 2026'!$N$2:$N$376,0)),"Ver fuente ↗"),"")</f>
        <v/>
      </c>
      <c r="L172" s="49" t="str">
        <f t="array" ref="L172">IFERROR(INDEX('Agenda 2026'!K$2:K$376,MATCH(ROWS($A$7:$A172),'Agenda 2026'!$N$2:$N$376,0)),"")</f>
        <v/>
      </c>
      <c r="M172" s="50" t="str">
        <f t="array" ref="M172">IFERROR(INDEX('Agenda 2026'!O$2:O$376,MATCH(ROWS($A$7:$A172),'Agenda 2026'!$N$2:$N$376,0)),"")</f>
        <v/>
      </c>
    </row>
    <row r="173" spans="1:13" ht="42" customHeight="1" x14ac:dyDescent="0.35">
      <c r="A173" s="42" t="str">
        <f t="array" ref="A173">IFERROR(INDEX('Agenda 2026'!A$2:A$376,MATCH(ROWS($A$7:$A173),'Agenda 2026'!$N$2:$N$376,0)),"")</f>
        <v/>
      </c>
      <c r="B173" s="43" t="str">
        <f t="array" ref="B173">IFERROR(INDEX('Agenda 2026'!P$2:P$376,MATCH(ROWS($A$7:$A173),'Agenda 2026'!$N$2:$N$376,0)),"")</f>
        <v/>
      </c>
      <c r="C173" s="44" t="str">
        <f t="array" ref="C173">IFERROR(INDEX('Agenda 2026'!B$2:B$376,MATCH(ROWS($A$7:$A173),'Agenda 2026'!$N$2:$N$376,0)),"")</f>
        <v/>
      </c>
      <c r="D173" s="44" t="str">
        <f t="array" ref="D173">IFERROR(INDEX('Agenda 2026'!C$2:C$376,MATCH(ROWS($A$7:$A173),'Agenda 2026'!$N$2:$N$376,0)),"")</f>
        <v/>
      </c>
      <c r="E173" s="44" t="str">
        <f t="array" ref="E173">IFERROR(INDEX('Agenda 2026'!D$2:D$376,MATCH(ROWS($A$7:$A173),'Agenda 2026'!$N$2:$N$376,0)),"")</f>
        <v/>
      </c>
      <c r="F173" s="45" t="str">
        <f t="array" ref="F173">IFERROR(INDEX('Agenda 2026'!E$2:E$376,MATCH(ROWS($A$7:$A173),'Agenda 2026'!$N$2:$N$376,0)),"")</f>
        <v/>
      </c>
      <c r="G173" s="44" t="str">
        <f t="array" ref="G173">IFERROR(INDEX('Agenda 2026'!F$2:F$376,MATCH(ROWS($A$7:$A173),'Agenda 2026'!$N$2:$N$376,0)),"")</f>
        <v/>
      </c>
      <c r="H173" s="44" t="str">
        <f t="array" ref="H173">IFERROR(INDEX('Agenda 2026'!G$2:G$376,MATCH(ROWS($A$7:$A173),'Agenda 2026'!$N$2:$N$376,0)),"")</f>
        <v/>
      </c>
      <c r="I173" s="46" t="str">
        <f t="array" ref="I173">IFERROR(INDEX('Agenda 2026'!H$2:H$376,MATCH(ROWS($A$7:$A173),'Agenda 2026'!$N$2:$N$376,0)),"")</f>
        <v/>
      </c>
      <c r="J173" s="47"/>
      <c r="K173" s="48" t="str">
        <f t="array" ref="K173">IFERROR(HYPERLINK(INDEX('Agenda 2026'!J$2:J$376,MATCH(ROWS($A$7:$A173),'Agenda 2026'!$N$2:$N$376,0)),"Ver fuente ↗"),"")</f>
        <v/>
      </c>
      <c r="L173" s="49" t="str">
        <f t="array" ref="L173">IFERROR(INDEX('Agenda 2026'!K$2:K$376,MATCH(ROWS($A$7:$A173),'Agenda 2026'!$N$2:$N$376,0)),"")</f>
        <v/>
      </c>
      <c r="M173" s="50" t="str">
        <f t="array" ref="M173">IFERROR(INDEX('Agenda 2026'!O$2:O$376,MATCH(ROWS($A$7:$A173),'Agenda 2026'!$N$2:$N$376,0)),"")</f>
        <v/>
      </c>
    </row>
    <row r="174" spans="1:13" ht="42" customHeight="1" x14ac:dyDescent="0.35">
      <c r="A174" s="42" t="str">
        <f t="array" ref="A174">IFERROR(INDEX('Agenda 2026'!A$2:A$376,MATCH(ROWS($A$7:$A174),'Agenda 2026'!$N$2:$N$376,0)),"")</f>
        <v/>
      </c>
      <c r="B174" s="43" t="str">
        <f t="array" ref="B174">IFERROR(INDEX('Agenda 2026'!P$2:P$376,MATCH(ROWS($A$7:$A174),'Agenda 2026'!$N$2:$N$376,0)),"")</f>
        <v/>
      </c>
      <c r="C174" s="44" t="str">
        <f t="array" ref="C174">IFERROR(INDEX('Agenda 2026'!B$2:B$376,MATCH(ROWS($A$7:$A174),'Agenda 2026'!$N$2:$N$376,0)),"")</f>
        <v/>
      </c>
      <c r="D174" s="44" t="str">
        <f t="array" ref="D174">IFERROR(INDEX('Agenda 2026'!C$2:C$376,MATCH(ROWS($A$7:$A174),'Agenda 2026'!$N$2:$N$376,0)),"")</f>
        <v/>
      </c>
      <c r="E174" s="44" t="str">
        <f t="array" ref="E174">IFERROR(INDEX('Agenda 2026'!D$2:D$376,MATCH(ROWS($A$7:$A174),'Agenda 2026'!$N$2:$N$376,0)),"")</f>
        <v/>
      </c>
      <c r="F174" s="45" t="str">
        <f t="array" ref="F174">IFERROR(INDEX('Agenda 2026'!E$2:E$376,MATCH(ROWS($A$7:$A174),'Agenda 2026'!$N$2:$N$376,0)),"")</f>
        <v/>
      </c>
      <c r="G174" s="44" t="str">
        <f t="array" ref="G174">IFERROR(INDEX('Agenda 2026'!F$2:F$376,MATCH(ROWS($A$7:$A174),'Agenda 2026'!$N$2:$N$376,0)),"")</f>
        <v/>
      </c>
      <c r="H174" s="44" t="str">
        <f t="array" ref="H174">IFERROR(INDEX('Agenda 2026'!G$2:G$376,MATCH(ROWS($A$7:$A174),'Agenda 2026'!$N$2:$N$376,0)),"")</f>
        <v/>
      </c>
      <c r="I174" s="46" t="str">
        <f t="array" ref="I174">IFERROR(INDEX('Agenda 2026'!H$2:H$376,MATCH(ROWS($A$7:$A174),'Agenda 2026'!$N$2:$N$376,0)),"")</f>
        <v/>
      </c>
      <c r="J174" s="47"/>
      <c r="K174" s="48" t="str">
        <f t="array" ref="K174">IFERROR(HYPERLINK(INDEX('Agenda 2026'!J$2:J$376,MATCH(ROWS($A$7:$A174),'Agenda 2026'!$N$2:$N$376,0)),"Ver fuente ↗"),"")</f>
        <v/>
      </c>
      <c r="L174" s="49" t="str">
        <f t="array" ref="L174">IFERROR(INDEX('Agenda 2026'!K$2:K$376,MATCH(ROWS($A$7:$A174),'Agenda 2026'!$N$2:$N$376,0)),"")</f>
        <v/>
      </c>
      <c r="M174" s="50" t="str">
        <f t="array" ref="M174">IFERROR(INDEX('Agenda 2026'!O$2:O$376,MATCH(ROWS($A$7:$A174),'Agenda 2026'!$N$2:$N$376,0)),"")</f>
        <v/>
      </c>
    </row>
    <row r="175" spans="1:13" ht="42" customHeight="1" x14ac:dyDescent="0.35">
      <c r="A175" s="42" t="str">
        <f t="array" ref="A175">IFERROR(INDEX('Agenda 2026'!A$2:A$376,MATCH(ROWS($A$7:$A175),'Agenda 2026'!$N$2:$N$376,0)),"")</f>
        <v/>
      </c>
      <c r="B175" s="43" t="str">
        <f t="array" ref="B175">IFERROR(INDEX('Agenda 2026'!P$2:P$376,MATCH(ROWS($A$7:$A175),'Agenda 2026'!$N$2:$N$376,0)),"")</f>
        <v/>
      </c>
      <c r="C175" s="44" t="str">
        <f t="array" ref="C175">IFERROR(INDEX('Agenda 2026'!B$2:B$376,MATCH(ROWS($A$7:$A175),'Agenda 2026'!$N$2:$N$376,0)),"")</f>
        <v/>
      </c>
      <c r="D175" s="44" t="str">
        <f t="array" ref="D175">IFERROR(INDEX('Agenda 2026'!C$2:C$376,MATCH(ROWS($A$7:$A175),'Agenda 2026'!$N$2:$N$376,0)),"")</f>
        <v/>
      </c>
      <c r="E175" s="44" t="str">
        <f t="array" ref="E175">IFERROR(INDEX('Agenda 2026'!D$2:D$376,MATCH(ROWS($A$7:$A175),'Agenda 2026'!$N$2:$N$376,0)),"")</f>
        <v/>
      </c>
      <c r="F175" s="45" t="str">
        <f t="array" ref="F175">IFERROR(INDEX('Agenda 2026'!E$2:E$376,MATCH(ROWS($A$7:$A175),'Agenda 2026'!$N$2:$N$376,0)),"")</f>
        <v/>
      </c>
      <c r="G175" s="44" t="str">
        <f t="array" ref="G175">IFERROR(INDEX('Agenda 2026'!F$2:F$376,MATCH(ROWS($A$7:$A175),'Agenda 2026'!$N$2:$N$376,0)),"")</f>
        <v/>
      </c>
      <c r="H175" s="44" t="str">
        <f t="array" ref="H175">IFERROR(INDEX('Agenda 2026'!G$2:G$376,MATCH(ROWS($A$7:$A175),'Agenda 2026'!$N$2:$N$376,0)),"")</f>
        <v/>
      </c>
      <c r="I175" s="46" t="str">
        <f t="array" ref="I175">IFERROR(INDEX('Agenda 2026'!H$2:H$376,MATCH(ROWS($A$7:$A175),'Agenda 2026'!$N$2:$N$376,0)),"")</f>
        <v/>
      </c>
      <c r="J175" s="47"/>
      <c r="K175" s="48" t="str">
        <f t="array" ref="K175">IFERROR(HYPERLINK(INDEX('Agenda 2026'!J$2:J$376,MATCH(ROWS($A$7:$A175),'Agenda 2026'!$N$2:$N$376,0)),"Ver fuente ↗"),"")</f>
        <v/>
      </c>
      <c r="L175" s="49" t="str">
        <f t="array" ref="L175">IFERROR(INDEX('Agenda 2026'!K$2:K$376,MATCH(ROWS($A$7:$A175),'Agenda 2026'!$N$2:$N$376,0)),"")</f>
        <v/>
      </c>
      <c r="M175" s="50" t="str">
        <f t="array" ref="M175">IFERROR(INDEX('Agenda 2026'!O$2:O$376,MATCH(ROWS($A$7:$A175),'Agenda 2026'!$N$2:$N$376,0)),"")</f>
        <v/>
      </c>
    </row>
    <row r="176" spans="1:13" ht="42" customHeight="1" x14ac:dyDescent="0.35">
      <c r="A176" s="42" t="str">
        <f t="array" ref="A176">IFERROR(INDEX('Agenda 2026'!A$2:A$376,MATCH(ROWS($A$7:$A176),'Agenda 2026'!$N$2:$N$376,0)),"")</f>
        <v/>
      </c>
      <c r="B176" s="43" t="str">
        <f t="array" ref="B176">IFERROR(INDEX('Agenda 2026'!P$2:P$376,MATCH(ROWS($A$7:$A176),'Agenda 2026'!$N$2:$N$376,0)),"")</f>
        <v/>
      </c>
      <c r="C176" s="44" t="str">
        <f t="array" ref="C176">IFERROR(INDEX('Agenda 2026'!B$2:B$376,MATCH(ROWS($A$7:$A176),'Agenda 2026'!$N$2:$N$376,0)),"")</f>
        <v/>
      </c>
      <c r="D176" s="44" t="str">
        <f t="array" ref="D176">IFERROR(INDEX('Agenda 2026'!C$2:C$376,MATCH(ROWS($A$7:$A176),'Agenda 2026'!$N$2:$N$376,0)),"")</f>
        <v/>
      </c>
      <c r="E176" s="44" t="str">
        <f t="array" ref="E176">IFERROR(INDEX('Agenda 2026'!D$2:D$376,MATCH(ROWS($A$7:$A176),'Agenda 2026'!$N$2:$N$376,0)),"")</f>
        <v/>
      </c>
      <c r="F176" s="45" t="str">
        <f t="array" ref="F176">IFERROR(INDEX('Agenda 2026'!E$2:E$376,MATCH(ROWS($A$7:$A176),'Agenda 2026'!$N$2:$N$376,0)),"")</f>
        <v/>
      </c>
      <c r="G176" s="44" t="str">
        <f t="array" ref="G176">IFERROR(INDEX('Agenda 2026'!F$2:F$376,MATCH(ROWS($A$7:$A176),'Agenda 2026'!$N$2:$N$376,0)),"")</f>
        <v/>
      </c>
      <c r="H176" s="44" t="str">
        <f t="array" ref="H176">IFERROR(INDEX('Agenda 2026'!G$2:G$376,MATCH(ROWS($A$7:$A176),'Agenda 2026'!$N$2:$N$376,0)),"")</f>
        <v/>
      </c>
      <c r="I176" s="46" t="str">
        <f t="array" ref="I176">IFERROR(INDEX('Agenda 2026'!H$2:H$376,MATCH(ROWS($A$7:$A176),'Agenda 2026'!$N$2:$N$376,0)),"")</f>
        <v/>
      </c>
      <c r="J176" s="47"/>
      <c r="K176" s="48" t="str">
        <f t="array" ref="K176">IFERROR(HYPERLINK(INDEX('Agenda 2026'!J$2:J$376,MATCH(ROWS($A$7:$A176),'Agenda 2026'!$N$2:$N$376,0)),"Ver fuente ↗"),"")</f>
        <v/>
      </c>
      <c r="L176" s="49" t="str">
        <f t="array" ref="L176">IFERROR(INDEX('Agenda 2026'!K$2:K$376,MATCH(ROWS($A$7:$A176),'Agenda 2026'!$N$2:$N$376,0)),"")</f>
        <v/>
      </c>
      <c r="M176" s="50" t="str">
        <f t="array" ref="M176">IFERROR(INDEX('Agenda 2026'!O$2:O$376,MATCH(ROWS($A$7:$A176),'Agenda 2026'!$N$2:$N$376,0)),"")</f>
        <v/>
      </c>
    </row>
    <row r="177" spans="1:13" ht="42" customHeight="1" x14ac:dyDescent="0.35">
      <c r="A177" s="42" t="str">
        <f t="array" ref="A177">IFERROR(INDEX('Agenda 2026'!A$2:A$376,MATCH(ROWS($A$7:$A177),'Agenda 2026'!$N$2:$N$376,0)),"")</f>
        <v/>
      </c>
      <c r="B177" s="43" t="str">
        <f t="array" ref="B177">IFERROR(INDEX('Agenda 2026'!P$2:P$376,MATCH(ROWS($A$7:$A177),'Agenda 2026'!$N$2:$N$376,0)),"")</f>
        <v/>
      </c>
      <c r="C177" s="44" t="str">
        <f t="array" ref="C177">IFERROR(INDEX('Agenda 2026'!B$2:B$376,MATCH(ROWS($A$7:$A177),'Agenda 2026'!$N$2:$N$376,0)),"")</f>
        <v/>
      </c>
      <c r="D177" s="44" t="str">
        <f t="array" ref="D177">IFERROR(INDEX('Agenda 2026'!C$2:C$376,MATCH(ROWS($A$7:$A177),'Agenda 2026'!$N$2:$N$376,0)),"")</f>
        <v/>
      </c>
      <c r="E177" s="44" t="str">
        <f t="array" ref="E177">IFERROR(INDEX('Agenda 2026'!D$2:D$376,MATCH(ROWS($A$7:$A177),'Agenda 2026'!$N$2:$N$376,0)),"")</f>
        <v/>
      </c>
      <c r="F177" s="45" t="str">
        <f t="array" ref="F177">IFERROR(INDEX('Agenda 2026'!E$2:E$376,MATCH(ROWS($A$7:$A177),'Agenda 2026'!$N$2:$N$376,0)),"")</f>
        <v/>
      </c>
      <c r="G177" s="44" t="str">
        <f t="array" ref="G177">IFERROR(INDEX('Agenda 2026'!F$2:F$376,MATCH(ROWS($A$7:$A177),'Agenda 2026'!$N$2:$N$376,0)),"")</f>
        <v/>
      </c>
      <c r="H177" s="44" t="str">
        <f t="array" ref="H177">IFERROR(INDEX('Agenda 2026'!G$2:G$376,MATCH(ROWS($A$7:$A177),'Agenda 2026'!$N$2:$N$376,0)),"")</f>
        <v/>
      </c>
      <c r="I177" s="46" t="str">
        <f t="array" ref="I177">IFERROR(INDEX('Agenda 2026'!H$2:H$376,MATCH(ROWS($A$7:$A177),'Agenda 2026'!$N$2:$N$376,0)),"")</f>
        <v/>
      </c>
      <c r="J177" s="47"/>
      <c r="K177" s="48" t="str">
        <f t="array" ref="K177">IFERROR(HYPERLINK(INDEX('Agenda 2026'!J$2:J$376,MATCH(ROWS($A$7:$A177),'Agenda 2026'!$N$2:$N$376,0)),"Ver fuente ↗"),"")</f>
        <v/>
      </c>
      <c r="L177" s="49" t="str">
        <f t="array" ref="L177">IFERROR(INDEX('Agenda 2026'!K$2:K$376,MATCH(ROWS($A$7:$A177),'Agenda 2026'!$N$2:$N$376,0)),"")</f>
        <v/>
      </c>
      <c r="M177" s="50" t="str">
        <f t="array" ref="M177">IFERROR(INDEX('Agenda 2026'!O$2:O$376,MATCH(ROWS($A$7:$A177),'Agenda 2026'!$N$2:$N$376,0)),"")</f>
        <v/>
      </c>
    </row>
    <row r="178" spans="1:13" ht="42" customHeight="1" x14ac:dyDescent="0.35">
      <c r="A178" s="42" t="str">
        <f t="array" ref="A178">IFERROR(INDEX('Agenda 2026'!A$2:A$376,MATCH(ROWS($A$7:$A178),'Agenda 2026'!$N$2:$N$376,0)),"")</f>
        <v/>
      </c>
      <c r="B178" s="43" t="str">
        <f t="array" ref="B178">IFERROR(INDEX('Agenda 2026'!P$2:P$376,MATCH(ROWS($A$7:$A178),'Agenda 2026'!$N$2:$N$376,0)),"")</f>
        <v/>
      </c>
      <c r="C178" s="44" t="str">
        <f t="array" ref="C178">IFERROR(INDEX('Agenda 2026'!B$2:B$376,MATCH(ROWS($A$7:$A178),'Agenda 2026'!$N$2:$N$376,0)),"")</f>
        <v/>
      </c>
      <c r="D178" s="44" t="str">
        <f t="array" ref="D178">IFERROR(INDEX('Agenda 2026'!C$2:C$376,MATCH(ROWS($A$7:$A178),'Agenda 2026'!$N$2:$N$376,0)),"")</f>
        <v/>
      </c>
      <c r="E178" s="44" t="str">
        <f t="array" ref="E178">IFERROR(INDEX('Agenda 2026'!D$2:D$376,MATCH(ROWS($A$7:$A178),'Agenda 2026'!$N$2:$N$376,0)),"")</f>
        <v/>
      </c>
      <c r="F178" s="45" t="str">
        <f t="array" ref="F178">IFERROR(INDEX('Agenda 2026'!E$2:E$376,MATCH(ROWS($A$7:$A178),'Agenda 2026'!$N$2:$N$376,0)),"")</f>
        <v/>
      </c>
      <c r="G178" s="44" t="str">
        <f t="array" ref="G178">IFERROR(INDEX('Agenda 2026'!F$2:F$376,MATCH(ROWS($A$7:$A178),'Agenda 2026'!$N$2:$N$376,0)),"")</f>
        <v/>
      </c>
      <c r="H178" s="44" t="str">
        <f t="array" ref="H178">IFERROR(INDEX('Agenda 2026'!G$2:G$376,MATCH(ROWS($A$7:$A178),'Agenda 2026'!$N$2:$N$376,0)),"")</f>
        <v/>
      </c>
      <c r="I178" s="46" t="str">
        <f t="array" ref="I178">IFERROR(INDEX('Agenda 2026'!H$2:H$376,MATCH(ROWS($A$7:$A178),'Agenda 2026'!$N$2:$N$376,0)),"")</f>
        <v/>
      </c>
      <c r="J178" s="47"/>
      <c r="K178" s="48" t="str">
        <f t="array" ref="K178">IFERROR(HYPERLINK(INDEX('Agenda 2026'!J$2:J$376,MATCH(ROWS($A$7:$A178),'Agenda 2026'!$N$2:$N$376,0)),"Ver fuente ↗"),"")</f>
        <v/>
      </c>
      <c r="L178" s="49" t="str">
        <f t="array" ref="L178">IFERROR(INDEX('Agenda 2026'!K$2:K$376,MATCH(ROWS($A$7:$A178),'Agenda 2026'!$N$2:$N$376,0)),"")</f>
        <v/>
      </c>
      <c r="M178" s="50" t="str">
        <f t="array" ref="M178">IFERROR(INDEX('Agenda 2026'!O$2:O$376,MATCH(ROWS($A$7:$A178),'Agenda 2026'!$N$2:$N$376,0)),"")</f>
        <v/>
      </c>
    </row>
    <row r="179" spans="1:13" ht="42" customHeight="1" x14ac:dyDescent="0.35">
      <c r="A179" s="42" t="str">
        <f t="array" ref="A179">IFERROR(INDEX('Agenda 2026'!A$2:A$376,MATCH(ROWS($A$7:$A179),'Agenda 2026'!$N$2:$N$376,0)),"")</f>
        <v/>
      </c>
      <c r="B179" s="43" t="str">
        <f t="array" ref="B179">IFERROR(INDEX('Agenda 2026'!P$2:P$376,MATCH(ROWS($A$7:$A179),'Agenda 2026'!$N$2:$N$376,0)),"")</f>
        <v/>
      </c>
      <c r="C179" s="44" t="str">
        <f t="array" ref="C179">IFERROR(INDEX('Agenda 2026'!B$2:B$376,MATCH(ROWS($A$7:$A179),'Agenda 2026'!$N$2:$N$376,0)),"")</f>
        <v/>
      </c>
      <c r="D179" s="44" t="str">
        <f t="array" ref="D179">IFERROR(INDEX('Agenda 2026'!C$2:C$376,MATCH(ROWS($A$7:$A179),'Agenda 2026'!$N$2:$N$376,0)),"")</f>
        <v/>
      </c>
      <c r="E179" s="44" t="str">
        <f t="array" ref="E179">IFERROR(INDEX('Agenda 2026'!D$2:D$376,MATCH(ROWS($A$7:$A179),'Agenda 2026'!$N$2:$N$376,0)),"")</f>
        <v/>
      </c>
      <c r="F179" s="45" t="str">
        <f t="array" ref="F179">IFERROR(INDEX('Agenda 2026'!E$2:E$376,MATCH(ROWS($A$7:$A179),'Agenda 2026'!$N$2:$N$376,0)),"")</f>
        <v/>
      </c>
      <c r="G179" s="44" t="str">
        <f t="array" ref="G179">IFERROR(INDEX('Agenda 2026'!F$2:F$376,MATCH(ROWS($A$7:$A179),'Agenda 2026'!$N$2:$N$376,0)),"")</f>
        <v/>
      </c>
      <c r="H179" s="44" t="str">
        <f t="array" ref="H179">IFERROR(INDEX('Agenda 2026'!G$2:G$376,MATCH(ROWS($A$7:$A179),'Agenda 2026'!$N$2:$N$376,0)),"")</f>
        <v/>
      </c>
      <c r="I179" s="46" t="str">
        <f t="array" ref="I179">IFERROR(INDEX('Agenda 2026'!H$2:H$376,MATCH(ROWS($A$7:$A179),'Agenda 2026'!$N$2:$N$376,0)),"")</f>
        <v/>
      </c>
      <c r="J179" s="47"/>
      <c r="K179" s="48" t="str">
        <f t="array" ref="K179">IFERROR(HYPERLINK(INDEX('Agenda 2026'!J$2:J$376,MATCH(ROWS($A$7:$A179),'Agenda 2026'!$N$2:$N$376,0)),"Ver fuente ↗"),"")</f>
        <v/>
      </c>
      <c r="L179" s="49" t="str">
        <f t="array" ref="L179">IFERROR(INDEX('Agenda 2026'!K$2:K$376,MATCH(ROWS($A$7:$A179),'Agenda 2026'!$N$2:$N$376,0)),"")</f>
        <v/>
      </c>
      <c r="M179" s="50" t="str">
        <f t="array" ref="M179">IFERROR(INDEX('Agenda 2026'!O$2:O$376,MATCH(ROWS($A$7:$A179),'Agenda 2026'!$N$2:$N$376,0)),"")</f>
        <v/>
      </c>
    </row>
    <row r="180" spans="1:13" ht="42" customHeight="1" x14ac:dyDescent="0.35">
      <c r="A180" s="42" t="str">
        <f t="array" ref="A180">IFERROR(INDEX('Agenda 2026'!A$2:A$376,MATCH(ROWS($A$7:$A180),'Agenda 2026'!$N$2:$N$376,0)),"")</f>
        <v/>
      </c>
      <c r="B180" s="43" t="str">
        <f t="array" ref="B180">IFERROR(INDEX('Agenda 2026'!P$2:P$376,MATCH(ROWS($A$7:$A180),'Agenda 2026'!$N$2:$N$376,0)),"")</f>
        <v/>
      </c>
      <c r="C180" s="44" t="str">
        <f t="array" ref="C180">IFERROR(INDEX('Agenda 2026'!B$2:B$376,MATCH(ROWS($A$7:$A180),'Agenda 2026'!$N$2:$N$376,0)),"")</f>
        <v/>
      </c>
      <c r="D180" s="44" t="str">
        <f t="array" ref="D180">IFERROR(INDEX('Agenda 2026'!C$2:C$376,MATCH(ROWS($A$7:$A180),'Agenda 2026'!$N$2:$N$376,0)),"")</f>
        <v/>
      </c>
      <c r="E180" s="44" t="str">
        <f t="array" ref="E180">IFERROR(INDEX('Agenda 2026'!D$2:D$376,MATCH(ROWS($A$7:$A180),'Agenda 2026'!$N$2:$N$376,0)),"")</f>
        <v/>
      </c>
      <c r="F180" s="45" t="str">
        <f t="array" ref="F180">IFERROR(INDEX('Agenda 2026'!E$2:E$376,MATCH(ROWS($A$7:$A180),'Agenda 2026'!$N$2:$N$376,0)),"")</f>
        <v/>
      </c>
      <c r="G180" s="44" t="str">
        <f t="array" ref="G180">IFERROR(INDEX('Agenda 2026'!F$2:F$376,MATCH(ROWS($A$7:$A180),'Agenda 2026'!$N$2:$N$376,0)),"")</f>
        <v/>
      </c>
      <c r="H180" s="44" t="str">
        <f t="array" ref="H180">IFERROR(INDEX('Agenda 2026'!G$2:G$376,MATCH(ROWS($A$7:$A180),'Agenda 2026'!$N$2:$N$376,0)),"")</f>
        <v/>
      </c>
      <c r="I180" s="46" t="str">
        <f t="array" ref="I180">IFERROR(INDEX('Agenda 2026'!H$2:H$376,MATCH(ROWS($A$7:$A180),'Agenda 2026'!$N$2:$N$376,0)),"")</f>
        <v/>
      </c>
      <c r="J180" s="47"/>
      <c r="K180" s="48" t="str">
        <f t="array" ref="K180">IFERROR(HYPERLINK(INDEX('Agenda 2026'!J$2:J$376,MATCH(ROWS($A$7:$A180),'Agenda 2026'!$N$2:$N$376,0)),"Ver fuente ↗"),"")</f>
        <v/>
      </c>
      <c r="L180" s="49" t="str">
        <f t="array" ref="L180">IFERROR(INDEX('Agenda 2026'!K$2:K$376,MATCH(ROWS($A$7:$A180),'Agenda 2026'!$N$2:$N$376,0)),"")</f>
        <v/>
      </c>
      <c r="M180" s="50" t="str">
        <f t="array" ref="M180">IFERROR(INDEX('Agenda 2026'!O$2:O$376,MATCH(ROWS($A$7:$A180),'Agenda 2026'!$N$2:$N$376,0)),"")</f>
        <v/>
      </c>
    </row>
    <row r="181" spans="1:13" ht="42" customHeight="1" x14ac:dyDescent="0.35">
      <c r="A181" s="42" t="str">
        <f t="array" ref="A181">IFERROR(INDEX('Agenda 2026'!A$2:A$376,MATCH(ROWS($A$7:$A181),'Agenda 2026'!$N$2:$N$376,0)),"")</f>
        <v/>
      </c>
      <c r="B181" s="43" t="str">
        <f t="array" ref="B181">IFERROR(INDEX('Agenda 2026'!P$2:P$376,MATCH(ROWS($A$7:$A181),'Agenda 2026'!$N$2:$N$376,0)),"")</f>
        <v/>
      </c>
      <c r="C181" s="44" t="str">
        <f t="array" ref="C181">IFERROR(INDEX('Agenda 2026'!B$2:B$376,MATCH(ROWS($A$7:$A181),'Agenda 2026'!$N$2:$N$376,0)),"")</f>
        <v/>
      </c>
      <c r="D181" s="44" t="str">
        <f t="array" ref="D181">IFERROR(INDEX('Agenda 2026'!C$2:C$376,MATCH(ROWS($A$7:$A181),'Agenda 2026'!$N$2:$N$376,0)),"")</f>
        <v/>
      </c>
      <c r="E181" s="44" t="str">
        <f t="array" ref="E181">IFERROR(INDEX('Agenda 2026'!D$2:D$376,MATCH(ROWS($A$7:$A181),'Agenda 2026'!$N$2:$N$376,0)),"")</f>
        <v/>
      </c>
      <c r="F181" s="45" t="str">
        <f t="array" ref="F181">IFERROR(INDEX('Agenda 2026'!E$2:E$376,MATCH(ROWS($A$7:$A181),'Agenda 2026'!$N$2:$N$376,0)),"")</f>
        <v/>
      </c>
      <c r="G181" s="44" t="str">
        <f t="array" ref="G181">IFERROR(INDEX('Agenda 2026'!F$2:F$376,MATCH(ROWS($A$7:$A181),'Agenda 2026'!$N$2:$N$376,0)),"")</f>
        <v/>
      </c>
      <c r="H181" s="44" t="str">
        <f t="array" ref="H181">IFERROR(INDEX('Agenda 2026'!G$2:G$376,MATCH(ROWS($A$7:$A181),'Agenda 2026'!$N$2:$N$376,0)),"")</f>
        <v/>
      </c>
      <c r="I181" s="46" t="str">
        <f t="array" ref="I181">IFERROR(INDEX('Agenda 2026'!H$2:H$376,MATCH(ROWS($A$7:$A181),'Agenda 2026'!$N$2:$N$376,0)),"")</f>
        <v/>
      </c>
      <c r="J181" s="47"/>
      <c r="K181" s="48" t="str">
        <f t="array" ref="K181">IFERROR(HYPERLINK(INDEX('Agenda 2026'!J$2:J$376,MATCH(ROWS($A$7:$A181),'Agenda 2026'!$N$2:$N$376,0)),"Ver fuente ↗"),"")</f>
        <v/>
      </c>
      <c r="L181" s="49" t="str">
        <f t="array" ref="L181">IFERROR(INDEX('Agenda 2026'!K$2:K$376,MATCH(ROWS($A$7:$A181),'Agenda 2026'!$N$2:$N$376,0)),"")</f>
        <v/>
      </c>
      <c r="M181" s="50" t="str">
        <f t="array" ref="M181">IFERROR(INDEX('Agenda 2026'!O$2:O$376,MATCH(ROWS($A$7:$A181),'Agenda 2026'!$N$2:$N$376,0)),"")</f>
        <v/>
      </c>
    </row>
    <row r="182" spans="1:13" ht="42" customHeight="1" x14ac:dyDescent="0.35">
      <c r="A182" s="42" t="str">
        <f t="array" ref="A182">IFERROR(INDEX('Agenda 2026'!A$2:A$376,MATCH(ROWS($A$7:$A182),'Agenda 2026'!$N$2:$N$376,0)),"")</f>
        <v/>
      </c>
      <c r="B182" s="43" t="str">
        <f t="array" ref="B182">IFERROR(INDEX('Agenda 2026'!P$2:P$376,MATCH(ROWS($A$7:$A182),'Agenda 2026'!$N$2:$N$376,0)),"")</f>
        <v/>
      </c>
      <c r="C182" s="44" t="str">
        <f t="array" ref="C182">IFERROR(INDEX('Agenda 2026'!B$2:B$376,MATCH(ROWS($A$7:$A182),'Agenda 2026'!$N$2:$N$376,0)),"")</f>
        <v/>
      </c>
      <c r="D182" s="44" t="str">
        <f t="array" ref="D182">IFERROR(INDEX('Agenda 2026'!C$2:C$376,MATCH(ROWS($A$7:$A182),'Agenda 2026'!$N$2:$N$376,0)),"")</f>
        <v/>
      </c>
      <c r="E182" s="44" t="str">
        <f t="array" ref="E182">IFERROR(INDEX('Agenda 2026'!D$2:D$376,MATCH(ROWS($A$7:$A182),'Agenda 2026'!$N$2:$N$376,0)),"")</f>
        <v/>
      </c>
      <c r="F182" s="45" t="str">
        <f t="array" ref="F182">IFERROR(INDEX('Agenda 2026'!E$2:E$376,MATCH(ROWS($A$7:$A182),'Agenda 2026'!$N$2:$N$376,0)),"")</f>
        <v/>
      </c>
      <c r="G182" s="44" t="str">
        <f t="array" ref="G182">IFERROR(INDEX('Agenda 2026'!F$2:F$376,MATCH(ROWS($A$7:$A182),'Agenda 2026'!$N$2:$N$376,0)),"")</f>
        <v/>
      </c>
      <c r="H182" s="44" t="str">
        <f t="array" ref="H182">IFERROR(INDEX('Agenda 2026'!G$2:G$376,MATCH(ROWS($A$7:$A182),'Agenda 2026'!$N$2:$N$376,0)),"")</f>
        <v/>
      </c>
      <c r="I182" s="46" t="str">
        <f t="array" ref="I182">IFERROR(INDEX('Agenda 2026'!H$2:H$376,MATCH(ROWS($A$7:$A182),'Agenda 2026'!$N$2:$N$376,0)),"")</f>
        <v/>
      </c>
      <c r="J182" s="47"/>
      <c r="K182" s="48" t="str">
        <f t="array" ref="K182">IFERROR(HYPERLINK(INDEX('Agenda 2026'!J$2:J$376,MATCH(ROWS($A$7:$A182),'Agenda 2026'!$N$2:$N$376,0)),"Ver fuente ↗"),"")</f>
        <v/>
      </c>
      <c r="L182" s="49" t="str">
        <f t="array" ref="L182">IFERROR(INDEX('Agenda 2026'!K$2:K$376,MATCH(ROWS($A$7:$A182),'Agenda 2026'!$N$2:$N$376,0)),"")</f>
        <v/>
      </c>
      <c r="M182" s="50" t="str">
        <f t="array" ref="M182">IFERROR(INDEX('Agenda 2026'!O$2:O$376,MATCH(ROWS($A$7:$A182),'Agenda 2026'!$N$2:$N$376,0)),"")</f>
        <v/>
      </c>
    </row>
    <row r="183" spans="1:13" ht="42" customHeight="1" x14ac:dyDescent="0.35">
      <c r="A183" s="42" t="str">
        <f t="array" ref="A183">IFERROR(INDEX('Agenda 2026'!A$2:A$376,MATCH(ROWS($A$7:$A183),'Agenda 2026'!$N$2:$N$376,0)),"")</f>
        <v/>
      </c>
      <c r="B183" s="43" t="str">
        <f t="array" ref="B183">IFERROR(INDEX('Agenda 2026'!P$2:P$376,MATCH(ROWS($A$7:$A183),'Agenda 2026'!$N$2:$N$376,0)),"")</f>
        <v/>
      </c>
      <c r="C183" s="44" t="str">
        <f t="array" ref="C183">IFERROR(INDEX('Agenda 2026'!B$2:B$376,MATCH(ROWS($A$7:$A183),'Agenda 2026'!$N$2:$N$376,0)),"")</f>
        <v/>
      </c>
      <c r="D183" s="44" t="str">
        <f t="array" ref="D183">IFERROR(INDEX('Agenda 2026'!C$2:C$376,MATCH(ROWS($A$7:$A183),'Agenda 2026'!$N$2:$N$376,0)),"")</f>
        <v/>
      </c>
      <c r="E183" s="44" t="str">
        <f t="array" ref="E183">IFERROR(INDEX('Agenda 2026'!D$2:D$376,MATCH(ROWS($A$7:$A183),'Agenda 2026'!$N$2:$N$376,0)),"")</f>
        <v/>
      </c>
      <c r="F183" s="45" t="str">
        <f t="array" ref="F183">IFERROR(INDEX('Agenda 2026'!E$2:E$376,MATCH(ROWS($A$7:$A183),'Agenda 2026'!$N$2:$N$376,0)),"")</f>
        <v/>
      </c>
      <c r="G183" s="44" t="str">
        <f t="array" ref="G183">IFERROR(INDEX('Agenda 2026'!F$2:F$376,MATCH(ROWS($A$7:$A183),'Agenda 2026'!$N$2:$N$376,0)),"")</f>
        <v/>
      </c>
      <c r="H183" s="44" t="str">
        <f t="array" ref="H183">IFERROR(INDEX('Agenda 2026'!G$2:G$376,MATCH(ROWS($A$7:$A183),'Agenda 2026'!$N$2:$N$376,0)),"")</f>
        <v/>
      </c>
      <c r="I183" s="46" t="str">
        <f t="array" ref="I183">IFERROR(INDEX('Agenda 2026'!H$2:H$376,MATCH(ROWS($A$7:$A183),'Agenda 2026'!$N$2:$N$376,0)),"")</f>
        <v/>
      </c>
      <c r="J183" s="47"/>
      <c r="K183" s="48" t="str">
        <f t="array" ref="K183">IFERROR(HYPERLINK(INDEX('Agenda 2026'!J$2:J$376,MATCH(ROWS($A$7:$A183),'Agenda 2026'!$N$2:$N$376,0)),"Ver fuente ↗"),"")</f>
        <v/>
      </c>
      <c r="L183" s="49" t="str">
        <f t="array" ref="L183">IFERROR(INDEX('Agenda 2026'!K$2:K$376,MATCH(ROWS($A$7:$A183),'Agenda 2026'!$N$2:$N$376,0)),"")</f>
        <v/>
      </c>
      <c r="M183" s="50" t="str">
        <f t="array" ref="M183">IFERROR(INDEX('Agenda 2026'!O$2:O$376,MATCH(ROWS($A$7:$A183),'Agenda 2026'!$N$2:$N$376,0)),"")</f>
        <v/>
      </c>
    </row>
    <row r="184" spans="1:13" ht="42" customHeight="1" x14ac:dyDescent="0.35">
      <c r="A184" s="42" t="str">
        <f t="array" ref="A184">IFERROR(INDEX('Agenda 2026'!A$2:A$376,MATCH(ROWS($A$7:$A184),'Agenda 2026'!$N$2:$N$376,0)),"")</f>
        <v/>
      </c>
      <c r="B184" s="43" t="str">
        <f t="array" ref="B184">IFERROR(INDEX('Agenda 2026'!P$2:P$376,MATCH(ROWS($A$7:$A184),'Agenda 2026'!$N$2:$N$376,0)),"")</f>
        <v/>
      </c>
      <c r="C184" s="44" t="str">
        <f t="array" ref="C184">IFERROR(INDEX('Agenda 2026'!B$2:B$376,MATCH(ROWS($A$7:$A184),'Agenda 2026'!$N$2:$N$376,0)),"")</f>
        <v/>
      </c>
      <c r="D184" s="44" t="str">
        <f t="array" ref="D184">IFERROR(INDEX('Agenda 2026'!C$2:C$376,MATCH(ROWS($A$7:$A184),'Agenda 2026'!$N$2:$N$376,0)),"")</f>
        <v/>
      </c>
      <c r="E184" s="44" t="str">
        <f t="array" ref="E184">IFERROR(INDEX('Agenda 2026'!D$2:D$376,MATCH(ROWS($A$7:$A184),'Agenda 2026'!$N$2:$N$376,0)),"")</f>
        <v/>
      </c>
      <c r="F184" s="45" t="str">
        <f t="array" ref="F184">IFERROR(INDEX('Agenda 2026'!E$2:E$376,MATCH(ROWS($A$7:$A184),'Agenda 2026'!$N$2:$N$376,0)),"")</f>
        <v/>
      </c>
      <c r="G184" s="44" t="str">
        <f t="array" ref="G184">IFERROR(INDEX('Agenda 2026'!F$2:F$376,MATCH(ROWS($A$7:$A184),'Agenda 2026'!$N$2:$N$376,0)),"")</f>
        <v/>
      </c>
      <c r="H184" s="44" t="str">
        <f t="array" ref="H184">IFERROR(INDEX('Agenda 2026'!G$2:G$376,MATCH(ROWS($A$7:$A184),'Agenda 2026'!$N$2:$N$376,0)),"")</f>
        <v/>
      </c>
      <c r="I184" s="46" t="str">
        <f t="array" ref="I184">IFERROR(INDEX('Agenda 2026'!H$2:H$376,MATCH(ROWS($A$7:$A184),'Agenda 2026'!$N$2:$N$376,0)),"")</f>
        <v/>
      </c>
      <c r="J184" s="47"/>
      <c r="K184" s="48" t="str">
        <f t="array" ref="K184">IFERROR(HYPERLINK(INDEX('Agenda 2026'!J$2:J$376,MATCH(ROWS($A$7:$A184),'Agenda 2026'!$N$2:$N$376,0)),"Ver fuente ↗"),"")</f>
        <v/>
      </c>
      <c r="L184" s="49" t="str">
        <f t="array" ref="L184">IFERROR(INDEX('Agenda 2026'!K$2:K$376,MATCH(ROWS($A$7:$A184),'Agenda 2026'!$N$2:$N$376,0)),"")</f>
        <v/>
      </c>
      <c r="M184" s="50" t="str">
        <f t="array" ref="M184">IFERROR(INDEX('Agenda 2026'!O$2:O$376,MATCH(ROWS($A$7:$A184),'Agenda 2026'!$N$2:$N$376,0)),"")</f>
        <v/>
      </c>
    </row>
    <row r="185" spans="1:13" ht="42" customHeight="1" x14ac:dyDescent="0.35">
      <c r="A185" s="42" t="str">
        <f t="array" ref="A185">IFERROR(INDEX('Agenda 2026'!A$2:A$376,MATCH(ROWS($A$7:$A185),'Agenda 2026'!$N$2:$N$376,0)),"")</f>
        <v/>
      </c>
      <c r="B185" s="43" t="str">
        <f t="array" ref="B185">IFERROR(INDEX('Agenda 2026'!P$2:P$376,MATCH(ROWS($A$7:$A185),'Agenda 2026'!$N$2:$N$376,0)),"")</f>
        <v/>
      </c>
      <c r="C185" s="44" t="str">
        <f t="array" ref="C185">IFERROR(INDEX('Agenda 2026'!B$2:B$376,MATCH(ROWS($A$7:$A185),'Agenda 2026'!$N$2:$N$376,0)),"")</f>
        <v/>
      </c>
      <c r="D185" s="44" t="str">
        <f t="array" ref="D185">IFERROR(INDEX('Agenda 2026'!C$2:C$376,MATCH(ROWS($A$7:$A185),'Agenda 2026'!$N$2:$N$376,0)),"")</f>
        <v/>
      </c>
      <c r="E185" s="44" t="str">
        <f t="array" ref="E185">IFERROR(INDEX('Agenda 2026'!D$2:D$376,MATCH(ROWS($A$7:$A185),'Agenda 2026'!$N$2:$N$376,0)),"")</f>
        <v/>
      </c>
      <c r="F185" s="45" t="str">
        <f t="array" ref="F185">IFERROR(INDEX('Agenda 2026'!E$2:E$376,MATCH(ROWS($A$7:$A185),'Agenda 2026'!$N$2:$N$376,0)),"")</f>
        <v/>
      </c>
      <c r="G185" s="44" t="str">
        <f t="array" ref="G185">IFERROR(INDEX('Agenda 2026'!F$2:F$376,MATCH(ROWS($A$7:$A185),'Agenda 2026'!$N$2:$N$376,0)),"")</f>
        <v/>
      </c>
      <c r="H185" s="44" t="str">
        <f t="array" ref="H185">IFERROR(INDEX('Agenda 2026'!G$2:G$376,MATCH(ROWS($A$7:$A185),'Agenda 2026'!$N$2:$N$376,0)),"")</f>
        <v/>
      </c>
      <c r="I185" s="46" t="str">
        <f t="array" ref="I185">IFERROR(INDEX('Agenda 2026'!H$2:H$376,MATCH(ROWS($A$7:$A185),'Agenda 2026'!$N$2:$N$376,0)),"")</f>
        <v/>
      </c>
      <c r="J185" s="47"/>
      <c r="K185" s="48" t="str">
        <f t="array" ref="K185">IFERROR(HYPERLINK(INDEX('Agenda 2026'!J$2:J$376,MATCH(ROWS($A$7:$A185),'Agenda 2026'!$N$2:$N$376,0)),"Ver fuente ↗"),"")</f>
        <v/>
      </c>
      <c r="L185" s="49" t="str">
        <f t="array" ref="L185">IFERROR(INDEX('Agenda 2026'!K$2:K$376,MATCH(ROWS($A$7:$A185),'Agenda 2026'!$N$2:$N$376,0)),"")</f>
        <v/>
      </c>
      <c r="M185" s="50" t="str">
        <f t="array" ref="M185">IFERROR(INDEX('Agenda 2026'!O$2:O$376,MATCH(ROWS($A$7:$A185),'Agenda 2026'!$N$2:$N$376,0)),"")</f>
        <v/>
      </c>
    </row>
    <row r="186" spans="1:13" ht="42" customHeight="1" x14ac:dyDescent="0.35">
      <c r="A186" s="42" t="str">
        <f t="array" ref="A186">IFERROR(INDEX('Agenda 2026'!A$2:A$376,MATCH(ROWS($A$7:$A186),'Agenda 2026'!$N$2:$N$376,0)),"")</f>
        <v/>
      </c>
      <c r="B186" s="43" t="str">
        <f t="array" ref="B186">IFERROR(INDEX('Agenda 2026'!P$2:P$376,MATCH(ROWS($A$7:$A186),'Agenda 2026'!$N$2:$N$376,0)),"")</f>
        <v/>
      </c>
      <c r="C186" s="44" t="str">
        <f t="array" ref="C186">IFERROR(INDEX('Agenda 2026'!B$2:B$376,MATCH(ROWS($A$7:$A186),'Agenda 2026'!$N$2:$N$376,0)),"")</f>
        <v/>
      </c>
      <c r="D186" s="44" t="str">
        <f t="array" ref="D186">IFERROR(INDEX('Agenda 2026'!C$2:C$376,MATCH(ROWS($A$7:$A186),'Agenda 2026'!$N$2:$N$376,0)),"")</f>
        <v/>
      </c>
      <c r="E186" s="44" t="str">
        <f t="array" ref="E186">IFERROR(INDEX('Agenda 2026'!D$2:D$376,MATCH(ROWS($A$7:$A186),'Agenda 2026'!$N$2:$N$376,0)),"")</f>
        <v/>
      </c>
      <c r="F186" s="45" t="str">
        <f t="array" ref="F186">IFERROR(INDEX('Agenda 2026'!E$2:E$376,MATCH(ROWS($A$7:$A186),'Agenda 2026'!$N$2:$N$376,0)),"")</f>
        <v/>
      </c>
      <c r="G186" s="44" t="str">
        <f t="array" ref="G186">IFERROR(INDEX('Agenda 2026'!F$2:F$376,MATCH(ROWS($A$7:$A186),'Agenda 2026'!$N$2:$N$376,0)),"")</f>
        <v/>
      </c>
      <c r="H186" s="44" t="str">
        <f t="array" ref="H186">IFERROR(INDEX('Agenda 2026'!G$2:G$376,MATCH(ROWS($A$7:$A186),'Agenda 2026'!$N$2:$N$376,0)),"")</f>
        <v/>
      </c>
      <c r="I186" s="46" t="str">
        <f t="array" ref="I186">IFERROR(INDEX('Agenda 2026'!H$2:H$376,MATCH(ROWS($A$7:$A186),'Agenda 2026'!$N$2:$N$376,0)),"")</f>
        <v/>
      </c>
      <c r="J186" s="47"/>
      <c r="K186" s="48" t="str">
        <f t="array" ref="K186">IFERROR(HYPERLINK(INDEX('Agenda 2026'!J$2:J$376,MATCH(ROWS($A$7:$A186),'Agenda 2026'!$N$2:$N$376,0)),"Ver fuente ↗"),"")</f>
        <v/>
      </c>
      <c r="L186" s="49" t="str">
        <f t="array" ref="L186">IFERROR(INDEX('Agenda 2026'!K$2:K$376,MATCH(ROWS($A$7:$A186),'Agenda 2026'!$N$2:$N$376,0)),"")</f>
        <v/>
      </c>
      <c r="M186" s="50" t="str">
        <f t="array" ref="M186">IFERROR(INDEX('Agenda 2026'!O$2:O$376,MATCH(ROWS($A$7:$A186),'Agenda 2026'!$N$2:$N$376,0)),"")</f>
        <v/>
      </c>
    </row>
    <row r="187" spans="1:13" ht="42" customHeight="1" x14ac:dyDescent="0.35">
      <c r="A187" s="42" t="str">
        <f t="array" ref="A187">IFERROR(INDEX('Agenda 2026'!A$2:A$376,MATCH(ROWS($A$7:$A187),'Agenda 2026'!$N$2:$N$376,0)),"")</f>
        <v/>
      </c>
      <c r="B187" s="43" t="str">
        <f t="array" ref="B187">IFERROR(INDEX('Agenda 2026'!P$2:P$376,MATCH(ROWS($A$7:$A187),'Agenda 2026'!$N$2:$N$376,0)),"")</f>
        <v/>
      </c>
      <c r="C187" s="44" t="str">
        <f t="array" ref="C187">IFERROR(INDEX('Agenda 2026'!B$2:B$376,MATCH(ROWS($A$7:$A187),'Agenda 2026'!$N$2:$N$376,0)),"")</f>
        <v/>
      </c>
      <c r="D187" s="44" t="str">
        <f t="array" ref="D187">IFERROR(INDEX('Agenda 2026'!C$2:C$376,MATCH(ROWS($A$7:$A187),'Agenda 2026'!$N$2:$N$376,0)),"")</f>
        <v/>
      </c>
      <c r="E187" s="44" t="str">
        <f t="array" ref="E187">IFERROR(INDEX('Agenda 2026'!D$2:D$376,MATCH(ROWS($A$7:$A187),'Agenda 2026'!$N$2:$N$376,0)),"")</f>
        <v/>
      </c>
      <c r="F187" s="45" t="str">
        <f t="array" ref="F187">IFERROR(INDEX('Agenda 2026'!E$2:E$376,MATCH(ROWS($A$7:$A187),'Agenda 2026'!$N$2:$N$376,0)),"")</f>
        <v/>
      </c>
      <c r="G187" s="44" t="str">
        <f t="array" ref="G187">IFERROR(INDEX('Agenda 2026'!F$2:F$376,MATCH(ROWS($A$7:$A187),'Agenda 2026'!$N$2:$N$376,0)),"")</f>
        <v/>
      </c>
      <c r="H187" s="44" t="str">
        <f t="array" ref="H187">IFERROR(INDEX('Agenda 2026'!G$2:G$376,MATCH(ROWS($A$7:$A187),'Agenda 2026'!$N$2:$N$376,0)),"")</f>
        <v/>
      </c>
      <c r="I187" s="46" t="str">
        <f t="array" ref="I187">IFERROR(INDEX('Agenda 2026'!H$2:H$376,MATCH(ROWS($A$7:$A187),'Agenda 2026'!$N$2:$N$376,0)),"")</f>
        <v/>
      </c>
      <c r="J187" s="47"/>
      <c r="K187" s="48" t="str">
        <f t="array" ref="K187">IFERROR(HYPERLINK(INDEX('Agenda 2026'!J$2:J$376,MATCH(ROWS($A$7:$A187),'Agenda 2026'!$N$2:$N$376,0)),"Ver fuente ↗"),"")</f>
        <v/>
      </c>
      <c r="L187" s="49" t="str">
        <f t="array" ref="L187">IFERROR(INDEX('Agenda 2026'!K$2:K$376,MATCH(ROWS($A$7:$A187),'Agenda 2026'!$N$2:$N$376,0)),"")</f>
        <v/>
      </c>
      <c r="M187" s="50" t="str">
        <f t="array" ref="M187">IFERROR(INDEX('Agenda 2026'!O$2:O$376,MATCH(ROWS($A$7:$A187),'Agenda 2026'!$N$2:$N$376,0)),"")</f>
        <v/>
      </c>
    </row>
    <row r="188" spans="1:13" ht="42" customHeight="1" x14ac:dyDescent="0.35">
      <c r="A188" s="42" t="str">
        <f t="array" ref="A188">IFERROR(INDEX('Agenda 2026'!A$2:A$376,MATCH(ROWS($A$7:$A188),'Agenda 2026'!$N$2:$N$376,0)),"")</f>
        <v/>
      </c>
      <c r="B188" s="43" t="str">
        <f t="array" ref="B188">IFERROR(INDEX('Agenda 2026'!P$2:P$376,MATCH(ROWS($A$7:$A188),'Agenda 2026'!$N$2:$N$376,0)),"")</f>
        <v/>
      </c>
      <c r="C188" s="44" t="str">
        <f t="array" ref="C188">IFERROR(INDEX('Agenda 2026'!B$2:B$376,MATCH(ROWS($A$7:$A188),'Agenda 2026'!$N$2:$N$376,0)),"")</f>
        <v/>
      </c>
      <c r="D188" s="44" t="str">
        <f t="array" ref="D188">IFERROR(INDEX('Agenda 2026'!C$2:C$376,MATCH(ROWS($A$7:$A188),'Agenda 2026'!$N$2:$N$376,0)),"")</f>
        <v/>
      </c>
      <c r="E188" s="44" t="str">
        <f t="array" ref="E188">IFERROR(INDEX('Agenda 2026'!D$2:D$376,MATCH(ROWS($A$7:$A188),'Agenda 2026'!$N$2:$N$376,0)),"")</f>
        <v/>
      </c>
      <c r="F188" s="45" t="str">
        <f t="array" ref="F188">IFERROR(INDEX('Agenda 2026'!E$2:E$376,MATCH(ROWS($A$7:$A188),'Agenda 2026'!$N$2:$N$376,0)),"")</f>
        <v/>
      </c>
      <c r="G188" s="44" t="str">
        <f t="array" ref="G188">IFERROR(INDEX('Agenda 2026'!F$2:F$376,MATCH(ROWS($A$7:$A188),'Agenda 2026'!$N$2:$N$376,0)),"")</f>
        <v/>
      </c>
      <c r="H188" s="44" t="str">
        <f t="array" ref="H188">IFERROR(INDEX('Agenda 2026'!G$2:G$376,MATCH(ROWS($A$7:$A188),'Agenda 2026'!$N$2:$N$376,0)),"")</f>
        <v/>
      </c>
      <c r="I188" s="46" t="str">
        <f t="array" ref="I188">IFERROR(INDEX('Agenda 2026'!H$2:H$376,MATCH(ROWS($A$7:$A188),'Agenda 2026'!$N$2:$N$376,0)),"")</f>
        <v/>
      </c>
      <c r="J188" s="47"/>
      <c r="K188" s="48" t="str">
        <f t="array" ref="K188">IFERROR(HYPERLINK(INDEX('Agenda 2026'!J$2:J$376,MATCH(ROWS($A$7:$A188),'Agenda 2026'!$N$2:$N$376,0)),"Ver fuente ↗"),"")</f>
        <v/>
      </c>
      <c r="L188" s="49" t="str">
        <f t="array" ref="L188">IFERROR(INDEX('Agenda 2026'!K$2:K$376,MATCH(ROWS($A$7:$A188),'Agenda 2026'!$N$2:$N$376,0)),"")</f>
        <v/>
      </c>
      <c r="M188" s="50" t="str">
        <f t="array" ref="M188">IFERROR(INDEX('Agenda 2026'!O$2:O$376,MATCH(ROWS($A$7:$A188),'Agenda 2026'!$N$2:$N$376,0)),"")</f>
        <v/>
      </c>
    </row>
    <row r="189" spans="1:13" ht="42" customHeight="1" x14ac:dyDescent="0.35">
      <c r="A189" s="42" t="str">
        <f t="array" ref="A189">IFERROR(INDEX('Agenda 2026'!A$2:A$376,MATCH(ROWS($A$7:$A189),'Agenda 2026'!$N$2:$N$376,0)),"")</f>
        <v/>
      </c>
      <c r="B189" s="43" t="str">
        <f t="array" ref="B189">IFERROR(INDEX('Agenda 2026'!P$2:P$376,MATCH(ROWS($A$7:$A189),'Agenda 2026'!$N$2:$N$376,0)),"")</f>
        <v/>
      </c>
      <c r="C189" s="44" t="str">
        <f t="array" ref="C189">IFERROR(INDEX('Agenda 2026'!B$2:B$376,MATCH(ROWS($A$7:$A189),'Agenda 2026'!$N$2:$N$376,0)),"")</f>
        <v/>
      </c>
      <c r="D189" s="44" t="str">
        <f t="array" ref="D189">IFERROR(INDEX('Agenda 2026'!C$2:C$376,MATCH(ROWS($A$7:$A189),'Agenda 2026'!$N$2:$N$376,0)),"")</f>
        <v/>
      </c>
      <c r="E189" s="44" t="str">
        <f t="array" ref="E189">IFERROR(INDEX('Agenda 2026'!D$2:D$376,MATCH(ROWS($A$7:$A189),'Agenda 2026'!$N$2:$N$376,0)),"")</f>
        <v/>
      </c>
      <c r="F189" s="45" t="str">
        <f t="array" ref="F189">IFERROR(INDEX('Agenda 2026'!E$2:E$376,MATCH(ROWS($A$7:$A189),'Agenda 2026'!$N$2:$N$376,0)),"")</f>
        <v/>
      </c>
      <c r="G189" s="44" t="str">
        <f t="array" ref="G189">IFERROR(INDEX('Agenda 2026'!F$2:F$376,MATCH(ROWS($A$7:$A189),'Agenda 2026'!$N$2:$N$376,0)),"")</f>
        <v/>
      </c>
      <c r="H189" s="44" t="str">
        <f t="array" ref="H189">IFERROR(INDEX('Agenda 2026'!G$2:G$376,MATCH(ROWS($A$7:$A189),'Agenda 2026'!$N$2:$N$376,0)),"")</f>
        <v/>
      </c>
      <c r="I189" s="46" t="str">
        <f t="array" ref="I189">IFERROR(INDEX('Agenda 2026'!H$2:H$376,MATCH(ROWS($A$7:$A189),'Agenda 2026'!$N$2:$N$376,0)),"")</f>
        <v/>
      </c>
      <c r="J189" s="47"/>
      <c r="K189" s="48" t="str">
        <f t="array" ref="K189">IFERROR(HYPERLINK(INDEX('Agenda 2026'!J$2:J$376,MATCH(ROWS($A$7:$A189),'Agenda 2026'!$N$2:$N$376,0)),"Ver fuente ↗"),"")</f>
        <v/>
      </c>
      <c r="L189" s="49" t="str">
        <f t="array" ref="L189">IFERROR(INDEX('Agenda 2026'!K$2:K$376,MATCH(ROWS($A$7:$A189),'Agenda 2026'!$N$2:$N$376,0)),"")</f>
        <v/>
      </c>
      <c r="M189" s="50" t="str">
        <f t="array" ref="M189">IFERROR(INDEX('Agenda 2026'!O$2:O$376,MATCH(ROWS($A$7:$A189),'Agenda 2026'!$N$2:$N$376,0)),"")</f>
        <v/>
      </c>
    </row>
    <row r="190" spans="1:13" ht="42" customHeight="1" x14ac:dyDescent="0.35">
      <c r="A190" s="42" t="str">
        <f t="array" ref="A190">IFERROR(INDEX('Agenda 2026'!A$2:A$376,MATCH(ROWS($A$7:$A190),'Agenda 2026'!$N$2:$N$376,0)),"")</f>
        <v/>
      </c>
      <c r="B190" s="43" t="str">
        <f t="array" ref="B190">IFERROR(INDEX('Agenda 2026'!P$2:P$376,MATCH(ROWS($A$7:$A190),'Agenda 2026'!$N$2:$N$376,0)),"")</f>
        <v/>
      </c>
      <c r="C190" s="44" t="str">
        <f t="array" ref="C190">IFERROR(INDEX('Agenda 2026'!B$2:B$376,MATCH(ROWS($A$7:$A190),'Agenda 2026'!$N$2:$N$376,0)),"")</f>
        <v/>
      </c>
      <c r="D190" s="44" t="str">
        <f t="array" ref="D190">IFERROR(INDEX('Agenda 2026'!C$2:C$376,MATCH(ROWS($A$7:$A190),'Agenda 2026'!$N$2:$N$376,0)),"")</f>
        <v/>
      </c>
      <c r="E190" s="44" t="str">
        <f t="array" ref="E190">IFERROR(INDEX('Agenda 2026'!D$2:D$376,MATCH(ROWS($A$7:$A190),'Agenda 2026'!$N$2:$N$376,0)),"")</f>
        <v/>
      </c>
      <c r="F190" s="45" t="str">
        <f t="array" ref="F190">IFERROR(INDEX('Agenda 2026'!E$2:E$376,MATCH(ROWS($A$7:$A190),'Agenda 2026'!$N$2:$N$376,0)),"")</f>
        <v/>
      </c>
      <c r="G190" s="44" t="str">
        <f t="array" ref="G190">IFERROR(INDEX('Agenda 2026'!F$2:F$376,MATCH(ROWS($A$7:$A190),'Agenda 2026'!$N$2:$N$376,0)),"")</f>
        <v/>
      </c>
      <c r="H190" s="44" t="str">
        <f t="array" ref="H190">IFERROR(INDEX('Agenda 2026'!G$2:G$376,MATCH(ROWS($A$7:$A190),'Agenda 2026'!$N$2:$N$376,0)),"")</f>
        <v/>
      </c>
      <c r="I190" s="46" t="str">
        <f t="array" ref="I190">IFERROR(INDEX('Agenda 2026'!H$2:H$376,MATCH(ROWS($A$7:$A190),'Agenda 2026'!$N$2:$N$376,0)),"")</f>
        <v/>
      </c>
      <c r="J190" s="47"/>
      <c r="K190" s="48" t="str">
        <f t="array" ref="K190">IFERROR(HYPERLINK(INDEX('Agenda 2026'!J$2:J$376,MATCH(ROWS($A$7:$A190),'Agenda 2026'!$N$2:$N$376,0)),"Ver fuente ↗"),"")</f>
        <v/>
      </c>
      <c r="L190" s="49" t="str">
        <f t="array" ref="L190">IFERROR(INDEX('Agenda 2026'!K$2:K$376,MATCH(ROWS($A$7:$A190),'Agenda 2026'!$N$2:$N$376,0)),"")</f>
        <v/>
      </c>
      <c r="M190" s="50" t="str">
        <f t="array" ref="M190">IFERROR(INDEX('Agenda 2026'!O$2:O$376,MATCH(ROWS($A$7:$A190),'Agenda 2026'!$N$2:$N$376,0)),"")</f>
        <v/>
      </c>
    </row>
    <row r="191" spans="1:13" ht="42" customHeight="1" x14ac:dyDescent="0.35">
      <c r="A191" s="42" t="str">
        <f t="array" ref="A191">IFERROR(INDEX('Agenda 2026'!A$2:A$376,MATCH(ROWS($A$7:$A191),'Agenda 2026'!$N$2:$N$376,0)),"")</f>
        <v/>
      </c>
      <c r="B191" s="43" t="str">
        <f t="array" ref="B191">IFERROR(INDEX('Agenda 2026'!P$2:P$376,MATCH(ROWS($A$7:$A191),'Agenda 2026'!$N$2:$N$376,0)),"")</f>
        <v/>
      </c>
      <c r="C191" s="44" t="str">
        <f t="array" ref="C191">IFERROR(INDEX('Agenda 2026'!B$2:B$376,MATCH(ROWS($A$7:$A191),'Agenda 2026'!$N$2:$N$376,0)),"")</f>
        <v/>
      </c>
      <c r="D191" s="44" t="str">
        <f t="array" ref="D191">IFERROR(INDEX('Agenda 2026'!C$2:C$376,MATCH(ROWS($A$7:$A191),'Agenda 2026'!$N$2:$N$376,0)),"")</f>
        <v/>
      </c>
      <c r="E191" s="44" t="str">
        <f t="array" ref="E191">IFERROR(INDEX('Agenda 2026'!D$2:D$376,MATCH(ROWS($A$7:$A191),'Agenda 2026'!$N$2:$N$376,0)),"")</f>
        <v/>
      </c>
      <c r="F191" s="45" t="str">
        <f t="array" ref="F191">IFERROR(INDEX('Agenda 2026'!E$2:E$376,MATCH(ROWS($A$7:$A191),'Agenda 2026'!$N$2:$N$376,0)),"")</f>
        <v/>
      </c>
      <c r="G191" s="44" t="str">
        <f t="array" ref="G191">IFERROR(INDEX('Agenda 2026'!F$2:F$376,MATCH(ROWS($A$7:$A191),'Agenda 2026'!$N$2:$N$376,0)),"")</f>
        <v/>
      </c>
      <c r="H191" s="44" t="str">
        <f t="array" ref="H191">IFERROR(INDEX('Agenda 2026'!G$2:G$376,MATCH(ROWS($A$7:$A191),'Agenda 2026'!$N$2:$N$376,0)),"")</f>
        <v/>
      </c>
      <c r="I191" s="46" t="str">
        <f t="array" ref="I191">IFERROR(INDEX('Agenda 2026'!H$2:H$376,MATCH(ROWS($A$7:$A191),'Agenda 2026'!$N$2:$N$376,0)),"")</f>
        <v/>
      </c>
      <c r="J191" s="47"/>
      <c r="K191" s="48" t="str">
        <f t="array" ref="K191">IFERROR(HYPERLINK(INDEX('Agenda 2026'!J$2:J$376,MATCH(ROWS($A$7:$A191),'Agenda 2026'!$N$2:$N$376,0)),"Ver fuente ↗"),"")</f>
        <v/>
      </c>
      <c r="L191" s="49" t="str">
        <f t="array" ref="L191">IFERROR(INDEX('Agenda 2026'!K$2:K$376,MATCH(ROWS($A$7:$A191),'Agenda 2026'!$N$2:$N$376,0)),"")</f>
        <v/>
      </c>
      <c r="M191" s="50" t="str">
        <f t="array" ref="M191">IFERROR(INDEX('Agenda 2026'!O$2:O$376,MATCH(ROWS($A$7:$A191),'Agenda 2026'!$N$2:$N$376,0)),"")</f>
        <v/>
      </c>
    </row>
    <row r="192" spans="1:13" ht="42" customHeight="1" x14ac:dyDescent="0.35">
      <c r="A192" s="42" t="str">
        <f t="array" ref="A192">IFERROR(INDEX('Agenda 2026'!A$2:A$376,MATCH(ROWS($A$7:$A192),'Agenda 2026'!$N$2:$N$376,0)),"")</f>
        <v/>
      </c>
      <c r="B192" s="43" t="str">
        <f t="array" ref="B192">IFERROR(INDEX('Agenda 2026'!P$2:P$376,MATCH(ROWS($A$7:$A192),'Agenda 2026'!$N$2:$N$376,0)),"")</f>
        <v/>
      </c>
      <c r="C192" s="44" t="str">
        <f t="array" ref="C192">IFERROR(INDEX('Agenda 2026'!B$2:B$376,MATCH(ROWS($A$7:$A192),'Agenda 2026'!$N$2:$N$376,0)),"")</f>
        <v/>
      </c>
      <c r="D192" s="44" t="str">
        <f t="array" ref="D192">IFERROR(INDEX('Agenda 2026'!C$2:C$376,MATCH(ROWS($A$7:$A192),'Agenda 2026'!$N$2:$N$376,0)),"")</f>
        <v/>
      </c>
      <c r="E192" s="44" t="str">
        <f t="array" ref="E192">IFERROR(INDEX('Agenda 2026'!D$2:D$376,MATCH(ROWS($A$7:$A192),'Agenda 2026'!$N$2:$N$376,0)),"")</f>
        <v/>
      </c>
      <c r="F192" s="45" t="str">
        <f t="array" ref="F192">IFERROR(INDEX('Agenda 2026'!E$2:E$376,MATCH(ROWS($A$7:$A192),'Agenda 2026'!$N$2:$N$376,0)),"")</f>
        <v/>
      </c>
      <c r="G192" s="44" t="str">
        <f t="array" ref="G192">IFERROR(INDEX('Agenda 2026'!F$2:F$376,MATCH(ROWS($A$7:$A192),'Agenda 2026'!$N$2:$N$376,0)),"")</f>
        <v/>
      </c>
      <c r="H192" s="44" t="str">
        <f t="array" ref="H192">IFERROR(INDEX('Agenda 2026'!G$2:G$376,MATCH(ROWS($A$7:$A192),'Agenda 2026'!$N$2:$N$376,0)),"")</f>
        <v/>
      </c>
      <c r="I192" s="46" t="str">
        <f t="array" ref="I192">IFERROR(INDEX('Agenda 2026'!H$2:H$376,MATCH(ROWS($A$7:$A192),'Agenda 2026'!$N$2:$N$376,0)),"")</f>
        <v/>
      </c>
      <c r="J192" s="47"/>
      <c r="K192" s="48" t="str">
        <f t="array" ref="K192">IFERROR(HYPERLINK(INDEX('Agenda 2026'!J$2:J$376,MATCH(ROWS($A$7:$A192),'Agenda 2026'!$N$2:$N$376,0)),"Ver fuente ↗"),"")</f>
        <v/>
      </c>
      <c r="L192" s="49" t="str">
        <f t="array" ref="L192">IFERROR(INDEX('Agenda 2026'!K$2:K$376,MATCH(ROWS($A$7:$A192),'Agenda 2026'!$N$2:$N$376,0)),"")</f>
        <v/>
      </c>
      <c r="M192" s="50" t="str">
        <f t="array" ref="M192">IFERROR(INDEX('Agenda 2026'!O$2:O$376,MATCH(ROWS($A$7:$A192),'Agenda 2026'!$N$2:$N$376,0)),"")</f>
        <v/>
      </c>
    </row>
    <row r="193" spans="1:13" ht="42" customHeight="1" x14ac:dyDescent="0.35">
      <c r="A193" s="42" t="str">
        <f t="array" ref="A193">IFERROR(INDEX('Agenda 2026'!A$2:A$376,MATCH(ROWS($A$7:$A193),'Agenda 2026'!$N$2:$N$376,0)),"")</f>
        <v/>
      </c>
      <c r="B193" s="43" t="str">
        <f t="array" ref="B193">IFERROR(INDEX('Agenda 2026'!P$2:P$376,MATCH(ROWS($A$7:$A193),'Agenda 2026'!$N$2:$N$376,0)),"")</f>
        <v/>
      </c>
      <c r="C193" s="44" t="str">
        <f t="array" ref="C193">IFERROR(INDEX('Agenda 2026'!B$2:B$376,MATCH(ROWS($A$7:$A193),'Agenda 2026'!$N$2:$N$376,0)),"")</f>
        <v/>
      </c>
      <c r="D193" s="44" t="str">
        <f t="array" ref="D193">IFERROR(INDEX('Agenda 2026'!C$2:C$376,MATCH(ROWS($A$7:$A193),'Agenda 2026'!$N$2:$N$376,0)),"")</f>
        <v/>
      </c>
      <c r="E193" s="44" t="str">
        <f t="array" ref="E193">IFERROR(INDEX('Agenda 2026'!D$2:D$376,MATCH(ROWS($A$7:$A193),'Agenda 2026'!$N$2:$N$376,0)),"")</f>
        <v/>
      </c>
      <c r="F193" s="45" t="str">
        <f t="array" ref="F193">IFERROR(INDEX('Agenda 2026'!E$2:E$376,MATCH(ROWS($A$7:$A193),'Agenda 2026'!$N$2:$N$376,0)),"")</f>
        <v/>
      </c>
      <c r="G193" s="44" t="str">
        <f t="array" ref="G193">IFERROR(INDEX('Agenda 2026'!F$2:F$376,MATCH(ROWS($A$7:$A193),'Agenda 2026'!$N$2:$N$376,0)),"")</f>
        <v/>
      </c>
      <c r="H193" s="44" t="str">
        <f t="array" ref="H193">IFERROR(INDEX('Agenda 2026'!G$2:G$376,MATCH(ROWS($A$7:$A193),'Agenda 2026'!$N$2:$N$376,0)),"")</f>
        <v/>
      </c>
      <c r="I193" s="46" t="str">
        <f t="array" ref="I193">IFERROR(INDEX('Agenda 2026'!H$2:H$376,MATCH(ROWS($A$7:$A193),'Agenda 2026'!$N$2:$N$376,0)),"")</f>
        <v/>
      </c>
      <c r="J193" s="47"/>
      <c r="K193" s="48" t="str">
        <f t="array" ref="K193">IFERROR(HYPERLINK(INDEX('Agenda 2026'!J$2:J$376,MATCH(ROWS($A$7:$A193),'Agenda 2026'!$N$2:$N$376,0)),"Ver fuente ↗"),"")</f>
        <v/>
      </c>
      <c r="L193" s="49" t="str">
        <f t="array" ref="L193">IFERROR(INDEX('Agenda 2026'!K$2:K$376,MATCH(ROWS($A$7:$A193),'Agenda 2026'!$N$2:$N$376,0)),"")</f>
        <v/>
      </c>
      <c r="M193" s="50" t="str">
        <f t="array" ref="M193">IFERROR(INDEX('Agenda 2026'!O$2:O$376,MATCH(ROWS($A$7:$A193),'Agenda 2026'!$N$2:$N$376,0)),"")</f>
        <v/>
      </c>
    </row>
    <row r="194" spans="1:13" ht="42" customHeight="1" x14ac:dyDescent="0.35">
      <c r="A194" s="42" t="str">
        <f t="array" ref="A194">IFERROR(INDEX('Agenda 2026'!A$2:A$376,MATCH(ROWS($A$7:$A194),'Agenda 2026'!$N$2:$N$376,0)),"")</f>
        <v/>
      </c>
      <c r="B194" s="43" t="str">
        <f t="array" ref="B194">IFERROR(INDEX('Agenda 2026'!P$2:P$376,MATCH(ROWS($A$7:$A194),'Agenda 2026'!$N$2:$N$376,0)),"")</f>
        <v/>
      </c>
      <c r="C194" s="44" t="str">
        <f t="array" ref="C194">IFERROR(INDEX('Agenda 2026'!B$2:B$376,MATCH(ROWS($A$7:$A194),'Agenda 2026'!$N$2:$N$376,0)),"")</f>
        <v/>
      </c>
      <c r="D194" s="44" t="str">
        <f t="array" ref="D194">IFERROR(INDEX('Agenda 2026'!C$2:C$376,MATCH(ROWS($A$7:$A194),'Agenda 2026'!$N$2:$N$376,0)),"")</f>
        <v/>
      </c>
      <c r="E194" s="44" t="str">
        <f t="array" ref="E194">IFERROR(INDEX('Agenda 2026'!D$2:D$376,MATCH(ROWS($A$7:$A194),'Agenda 2026'!$N$2:$N$376,0)),"")</f>
        <v/>
      </c>
      <c r="F194" s="45" t="str">
        <f t="array" ref="F194">IFERROR(INDEX('Agenda 2026'!E$2:E$376,MATCH(ROWS($A$7:$A194),'Agenda 2026'!$N$2:$N$376,0)),"")</f>
        <v/>
      </c>
      <c r="G194" s="44" t="str">
        <f t="array" ref="G194">IFERROR(INDEX('Agenda 2026'!F$2:F$376,MATCH(ROWS($A$7:$A194),'Agenda 2026'!$N$2:$N$376,0)),"")</f>
        <v/>
      </c>
      <c r="H194" s="44" t="str">
        <f t="array" ref="H194">IFERROR(INDEX('Agenda 2026'!G$2:G$376,MATCH(ROWS($A$7:$A194),'Agenda 2026'!$N$2:$N$376,0)),"")</f>
        <v/>
      </c>
      <c r="I194" s="46" t="str">
        <f t="array" ref="I194">IFERROR(INDEX('Agenda 2026'!H$2:H$376,MATCH(ROWS($A$7:$A194),'Agenda 2026'!$N$2:$N$376,0)),"")</f>
        <v/>
      </c>
      <c r="J194" s="47"/>
      <c r="K194" s="48" t="str">
        <f t="array" ref="K194">IFERROR(HYPERLINK(INDEX('Agenda 2026'!J$2:J$376,MATCH(ROWS($A$7:$A194),'Agenda 2026'!$N$2:$N$376,0)),"Ver fuente ↗"),"")</f>
        <v/>
      </c>
      <c r="L194" s="49" t="str">
        <f t="array" ref="L194">IFERROR(INDEX('Agenda 2026'!K$2:K$376,MATCH(ROWS($A$7:$A194),'Agenda 2026'!$N$2:$N$376,0)),"")</f>
        <v/>
      </c>
      <c r="M194" s="50" t="str">
        <f t="array" ref="M194">IFERROR(INDEX('Agenda 2026'!O$2:O$376,MATCH(ROWS($A$7:$A194),'Agenda 2026'!$N$2:$N$376,0)),"")</f>
        <v/>
      </c>
    </row>
    <row r="195" spans="1:13" ht="42" customHeight="1" x14ac:dyDescent="0.35">
      <c r="A195" s="42" t="str">
        <f t="array" ref="A195">IFERROR(INDEX('Agenda 2026'!A$2:A$376,MATCH(ROWS($A$7:$A195),'Agenda 2026'!$N$2:$N$376,0)),"")</f>
        <v/>
      </c>
      <c r="B195" s="43" t="str">
        <f t="array" ref="B195">IFERROR(INDEX('Agenda 2026'!P$2:P$376,MATCH(ROWS($A$7:$A195),'Agenda 2026'!$N$2:$N$376,0)),"")</f>
        <v/>
      </c>
      <c r="C195" s="44" t="str">
        <f t="array" ref="C195">IFERROR(INDEX('Agenda 2026'!B$2:B$376,MATCH(ROWS($A$7:$A195),'Agenda 2026'!$N$2:$N$376,0)),"")</f>
        <v/>
      </c>
      <c r="D195" s="44" t="str">
        <f t="array" ref="D195">IFERROR(INDEX('Agenda 2026'!C$2:C$376,MATCH(ROWS($A$7:$A195),'Agenda 2026'!$N$2:$N$376,0)),"")</f>
        <v/>
      </c>
      <c r="E195" s="44" t="str">
        <f t="array" ref="E195">IFERROR(INDEX('Agenda 2026'!D$2:D$376,MATCH(ROWS($A$7:$A195),'Agenda 2026'!$N$2:$N$376,0)),"")</f>
        <v/>
      </c>
      <c r="F195" s="45" t="str">
        <f t="array" ref="F195">IFERROR(INDEX('Agenda 2026'!E$2:E$376,MATCH(ROWS($A$7:$A195),'Agenda 2026'!$N$2:$N$376,0)),"")</f>
        <v/>
      </c>
      <c r="G195" s="44" t="str">
        <f t="array" ref="G195">IFERROR(INDEX('Agenda 2026'!F$2:F$376,MATCH(ROWS($A$7:$A195),'Agenda 2026'!$N$2:$N$376,0)),"")</f>
        <v/>
      </c>
      <c r="H195" s="44" t="str">
        <f t="array" ref="H195">IFERROR(INDEX('Agenda 2026'!G$2:G$376,MATCH(ROWS($A$7:$A195),'Agenda 2026'!$N$2:$N$376,0)),"")</f>
        <v/>
      </c>
      <c r="I195" s="46" t="str">
        <f t="array" ref="I195">IFERROR(INDEX('Agenda 2026'!H$2:H$376,MATCH(ROWS($A$7:$A195),'Agenda 2026'!$N$2:$N$376,0)),"")</f>
        <v/>
      </c>
      <c r="J195" s="47"/>
      <c r="K195" s="48" t="str">
        <f t="array" ref="K195">IFERROR(HYPERLINK(INDEX('Agenda 2026'!J$2:J$376,MATCH(ROWS($A$7:$A195),'Agenda 2026'!$N$2:$N$376,0)),"Ver fuente ↗"),"")</f>
        <v/>
      </c>
      <c r="L195" s="49" t="str">
        <f t="array" ref="L195">IFERROR(INDEX('Agenda 2026'!K$2:K$376,MATCH(ROWS($A$7:$A195),'Agenda 2026'!$N$2:$N$376,0)),"")</f>
        <v/>
      </c>
      <c r="M195" s="50" t="str">
        <f t="array" ref="M195">IFERROR(INDEX('Agenda 2026'!O$2:O$376,MATCH(ROWS($A$7:$A195),'Agenda 2026'!$N$2:$N$376,0)),"")</f>
        <v/>
      </c>
    </row>
    <row r="196" spans="1:13" ht="42" customHeight="1" x14ac:dyDescent="0.35">
      <c r="A196" s="42" t="str">
        <f t="array" ref="A196">IFERROR(INDEX('Agenda 2026'!A$2:A$376,MATCH(ROWS($A$7:$A196),'Agenda 2026'!$N$2:$N$376,0)),"")</f>
        <v/>
      </c>
      <c r="B196" s="43" t="str">
        <f t="array" ref="B196">IFERROR(INDEX('Agenda 2026'!P$2:P$376,MATCH(ROWS($A$7:$A196),'Agenda 2026'!$N$2:$N$376,0)),"")</f>
        <v/>
      </c>
      <c r="C196" s="44" t="str">
        <f t="array" ref="C196">IFERROR(INDEX('Agenda 2026'!B$2:B$376,MATCH(ROWS($A$7:$A196),'Agenda 2026'!$N$2:$N$376,0)),"")</f>
        <v/>
      </c>
      <c r="D196" s="44" t="str">
        <f t="array" ref="D196">IFERROR(INDEX('Agenda 2026'!C$2:C$376,MATCH(ROWS($A$7:$A196),'Agenda 2026'!$N$2:$N$376,0)),"")</f>
        <v/>
      </c>
      <c r="E196" s="44" t="str">
        <f t="array" ref="E196">IFERROR(INDEX('Agenda 2026'!D$2:D$376,MATCH(ROWS($A$7:$A196),'Agenda 2026'!$N$2:$N$376,0)),"")</f>
        <v/>
      </c>
      <c r="F196" s="45" t="str">
        <f t="array" ref="F196">IFERROR(INDEX('Agenda 2026'!E$2:E$376,MATCH(ROWS($A$7:$A196),'Agenda 2026'!$N$2:$N$376,0)),"")</f>
        <v/>
      </c>
      <c r="G196" s="44" t="str">
        <f t="array" ref="G196">IFERROR(INDEX('Agenda 2026'!F$2:F$376,MATCH(ROWS($A$7:$A196),'Agenda 2026'!$N$2:$N$376,0)),"")</f>
        <v/>
      </c>
      <c r="H196" s="44" t="str">
        <f t="array" ref="H196">IFERROR(INDEX('Agenda 2026'!G$2:G$376,MATCH(ROWS($A$7:$A196),'Agenda 2026'!$N$2:$N$376,0)),"")</f>
        <v/>
      </c>
      <c r="I196" s="46" t="str">
        <f t="array" ref="I196">IFERROR(INDEX('Agenda 2026'!H$2:H$376,MATCH(ROWS($A$7:$A196),'Agenda 2026'!$N$2:$N$376,0)),"")</f>
        <v/>
      </c>
      <c r="J196" s="47"/>
      <c r="K196" s="48" t="str">
        <f t="array" ref="K196">IFERROR(HYPERLINK(INDEX('Agenda 2026'!J$2:J$376,MATCH(ROWS($A$7:$A196),'Agenda 2026'!$N$2:$N$376,0)),"Ver fuente ↗"),"")</f>
        <v/>
      </c>
      <c r="L196" s="49" t="str">
        <f t="array" ref="L196">IFERROR(INDEX('Agenda 2026'!K$2:K$376,MATCH(ROWS($A$7:$A196),'Agenda 2026'!$N$2:$N$376,0)),"")</f>
        <v/>
      </c>
      <c r="M196" s="50" t="str">
        <f t="array" ref="M196">IFERROR(INDEX('Agenda 2026'!O$2:O$376,MATCH(ROWS($A$7:$A196),'Agenda 2026'!$N$2:$N$376,0)),"")</f>
        <v/>
      </c>
    </row>
    <row r="197" spans="1:13" ht="42" customHeight="1" x14ac:dyDescent="0.35">
      <c r="A197" s="42" t="str">
        <f t="array" ref="A197">IFERROR(INDEX('Agenda 2026'!A$2:A$376,MATCH(ROWS($A$7:$A197),'Agenda 2026'!$N$2:$N$376,0)),"")</f>
        <v/>
      </c>
      <c r="B197" s="43" t="str">
        <f t="array" ref="B197">IFERROR(INDEX('Agenda 2026'!P$2:P$376,MATCH(ROWS($A$7:$A197),'Agenda 2026'!$N$2:$N$376,0)),"")</f>
        <v/>
      </c>
      <c r="C197" s="44" t="str">
        <f t="array" ref="C197">IFERROR(INDEX('Agenda 2026'!B$2:B$376,MATCH(ROWS($A$7:$A197),'Agenda 2026'!$N$2:$N$376,0)),"")</f>
        <v/>
      </c>
      <c r="D197" s="44" t="str">
        <f t="array" ref="D197">IFERROR(INDEX('Agenda 2026'!C$2:C$376,MATCH(ROWS($A$7:$A197),'Agenda 2026'!$N$2:$N$376,0)),"")</f>
        <v/>
      </c>
      <c r="E197" s="44" t="str">
        <f t="array" ref="E197">IFERROR(INDEX('Agenda 2026'!D$2:D$376,MATCH(ROWS($A$7:$A197),'Agenda 2026'!$N$2:$N$376,0)),"")</f>
        <v/>
      </c>
      <c r="F197" s="45" t="str">
        <f t="array" ref="F197">IFERROR(INDEX('Agenda 2026'!E$2:E$376,MATCH(ROWS($A$7:$A197),'Agenda 2026'!$N$2:$N$376,0)),"")</f>
        <v/>
      </c>
      <c r="G197" s="44" t="str">
        <f t="array" ref="G197">IFERROR(INDEX('Agenda 2026'!F$2:F$376,MATCH(ROWS($A$7:$A197),'Agenda 2026'!$N$2:$N$376,0)),"")</f>
        <v/>
      </c>
      <c r="H197" s="44" t="str">
        <f t="array" ref="H197">IFERROR(INDEX('Agenda 2026'!G$2:G$376,MATCH(ROWS($A$7:$A197),'Agenda 2026'!$N$2:$N$376,0)),"")</f>
        <v/>
      </c>
      <c r="I197" s="46" t="str">
        <f t="array" ref="I197">IFERROR(INDEX('Agenda 2026'!H$2:H$376,MATCH(ROWS($A$7:$A197),'Agenda 2026'!$N$2:$N$376,0)),"")</f>
        <v/>
      </c>
      <c r="J197" s="47"/>
      <c r="K197" s="48" t="str">
        <f t="array" ref="K197">IFERROR(HYPERLINK(INDEX('Agenda 2026'!J$2:J$376,MATCH(ROWS($A$7:$A197),'Agenda 2026'!$N$2:$N$376,0)),"Ver fuente ↗"),"")</f>
        <v/>
      </c>
      <c r="L197" s="49" t="str">
        <f t="array" ref="L197">IFERROR(INDEX('Agenda 2026'!K$2:K$376,MATCH(ROWS($A$7:$A197),'Agenda 2026'!$N$2:$N$376,0)),"")</f>
        <v/>
      </c>
      <c r="M197" s="50" t="str">
        <f t="array" ref="M197">IFERROR(INDEX('Agenda 2026'!O$2:O$376,MATCH(ROWS($A$7:$A197),'Agenda 2026'!$N$2:$N$376,0)),"")</f>
        <v/>
      </c>
    </row>
    <row r="198" spans="1:13" ht="42" customHeight="1" x14ac:dyDescent="0.35">
      <c r="A198" s="42" t="str">
        <f t="array" ref="A198">IFERROR(INDEX('Agenda 2026'!A$2:A$376,MATCH(ROWS($A$7:$A198),'Agenda 2026'!$N$2:$N$376,0)),"")</f>
        <v/>
      </c>
      <c r="B198" s="43" t="str">
        <f t="array" ref="B198">IFERROR(INDEX('Agenda 2026'!P$2:P$376,MATCH(ROWS($A$7:$A198),'Agenda 2026'!$N$2:$N$376,0)),"")</f>
        <v/>
      </c>
      <c r="C198" s="44" t="str">
        <f t="array" ref="C198">IFERROR(INDEX('Agenda 2026'!B$2:B$376,MATCH(ROWS($A$7:$A198),'Agenda 2026'!$N$2:$N$376,0)),"")</f>
        <v/>
      </c>
      <c r="D198" s="44" t="str">
        <f t="array" ref="D198">IFERROR(INDEX('Agenda 2026'!C$2:C$376,MATCH(ROWS($A$7:$A198),'Agenda 2026'!$N$2:$N$376,0)),"")</f>
        <v/>
      </c>
      <c r="E198" s="44" t="str">
        <f t="array" ref="E198">IFERROR(INDEX('Agenda 2026'!D$2:D$376,MATCH(ROWS($A$7:$A198),'Agenda 2026'!$N$2:$N$376,0)),"")</f>
        <v/>
      </c>
      <c r="F198" s="45" t="str">
        <f t="array" ref="F198">IFERROR(INDEX('Agenda 2026'!E$2:E$376,MATCH(ROWS($A$7:$A198),'Agenda 2026'!$N$2:$N$376,0)),"")</f>
        <v/>
      </c>
      <c r="G198" s="44" t="str">
        <f t="array" ref="G198">IFERROR(INDEX('Agenda 2026'!F$2:F$376,MATCH(ROWS($A$7:$A198),'Agenda 2026'!$N$2:$N$376,0)),"")</f>
        <v/>
      </c>
      <c r="H198" s="44" t="str">
        <f t="array" ref="H198">IFERROR(INDEX('Agenda 2026'!G$2:G$376,MATCH(ROWS($A$7:$A198),'Agenda 2026'!$N$2:$N$376,0)),"")</f>
        <v/>
      </c>
      <c r="I198" s="46" t="str">
        <f t="array" ref="I198">IFERROR(INDEX('Agenda 2026'!H$2:H$376,MATCH(ROWS($A$7:$A198),'Agenda 2026'!$N$2:$N$376,0)),"")</f>
        <v/>
      </c>
      <c r="J198" s="47"/>
      <c r="K198" s="48" t="str">
        <f t="array" ref="K198">IFERROR(HYPERLINK(INDEX('Agenda 2026'!J$2:J$376,MATCH(ROWS($A$7:$A198),'Agenda 2026'!$N$2:$N$376,0)),"Ver fuente ↗"),"")</f>
        <v/>
      </c>
      <c r="L198" s="49" t="str">
        <f t="array" ref="L198">IFERROR(INDEX('Agenda 2026'!K$2:K$376,MATCH(ROWS($A$7:$A198),'Agenda 2026'!$N$2:$N$376,0)),"")</f>
        <v/>
      </c>
      <c r="M198" s="50" t="str">
        <f t="array" ref="M198">IFERROR(INDEX('Agenda 2026'!O$2:O$376,MATCH(ROWS($A$7:$A198),'Agenda 2026'!$N$2:$N$376,0)),"")</f>
        <v/>
      </c>
    </row>
    <row r="199" spans="1:13" ht="42" customHeight="1" x14ac:dyDescent="0.35">
      <c r="A199" s="42" t="str">
        <f t="array" ref="A199">IFERROR(INDEX('Agenda 2026'!A$2:A$376,MATCH(ROWS($A$7:$A199),'Agenda 2026'!$N$2:$N$376,0)),"")</f>
        <v/>
      </c>
      <c r="B199" s="43" t="str">
        <f t="array" ref="B199">IFERROR(INDEX('Agenda 2026'!P$2:P$376,MATCH(ROWS($A$7:$A199),'Agenda 2026'!$N$2:$N$376,0)),"")</f>
        <v/>
      </c>
      <c r="C199" s="44" t="str">
        <f t="array" ref="C199">IFERROR(INDEX('Agenda 2026'!B$2:B$376,MATCH(ROWS($A$7:$A199),'Agenda 2026'!$N$2:$N$376,0)),"")</f>
        <v/>
      </c>
      <c r="D199" s="44" t="str">
        <f t="array" ref="D199">IFERROR(INDEX('Agenda 2026'!C$2:C$376,MATCH(ROWS($A$7:$A199),'Agenda 2026'!$N$2:$N$376,0)),"")</f>
        <v/>
      </c>
      <c r="E199" s="44" t="str">
        <f t="array" ref="E199">IFERROR(INDEX('Agenda 2026'!D$2:D$376,MATCH(ROWS($A$7:$A199),'Agenda 2026'!$N$2:$N$376,0)),"")</f>
        <v/>
      </c>
      <c r="F199" s="45" t="str">
        <f t="array" ref="F199">IFERROR(INDEX('Agenda 2026'!E$2:E$376,MATCH(ROWS($A$7:$A199),'Agenda 2026'!$N$2:$N$376,0)),"")</f>
        <v/>
      </c>
      <c r="G199" s="44" t="str">
        <f t="array" ref="G199">IFERROR(INDEX('Agenda 2026'!F$2:F$376,MATCH(ROWS($A$7:$A199),'Agenda 2026'!$N$2:$N$376,0)),"")</f>
        <v/>
      </c>
      <c r="H199" s="44" t="str">
        <f t="array" ref="H199">IFERROR(INDEX('Agenda 2026'!G$2:G$376,MATCH(ROWS($A$7:$A199),'Agenda 2026'!$N$2:$N$376,0)),"")</f>
        <v/>
      </c>
      <c r="I199" s="46" t="str">
        <f t="array" ref="I199">IFERROR(INDEX('Agenda 2026'!H$2:H$376,MATCH(ROWS($A$7:$A199),'Agenda 2026'!$N$2:$N$376,0)),"")</f>
        <v/>
      </c>
      <c r="J199" s="47"/>
      <c r="K199" s="48" t="str">
        <f t="array" ref="K199">IFERROR(HYPERLINK(INDEX('Agenda 2026'!J$2:J$376,MATCH(ROWS($A$7:$A199),'Agenda 2026'!$N$2:$N$376,0)),"Ver fuente ↗"),"")</f>
        <v/>
      </c>
      <c r="L199" s="49" t="str">
        <f t="array" ref="L199">IFERROR(INDEX('Agenda 2026'!K$2:K$376,MATCH(ROWS($A$7:$A199),'Agenda 2026'!$N$2:$N$376,0)),"")</f>
        <v/>
      </c>
      <c r="M199" s="50" t="str">
        <f t="array" ref="M199">IFERROR(INDEX('Agenda 2026'!O$2:O$376,MATCH(ROWS($A$7:$A199),'Agenda 2026'!$N$2:$N$376,0)),"")</f>
        <v/>
      </c>
    </row>
    <row r="200" spans="1:13" ht="42" customHeight="1" x14ac:dyDescent="0.35">
      <c r="A200" s="42" t="str">
        <f t="array" ref="A200">IFERROR(INDEX('Agenda 2026'!A$2:A$376,MATCH(ROWS($A$7:$A200),'Agenda 2026'!$N$2:$N$376,0)),"")</f>
        <v/>
      </c>
      <c r="B200" s="43" t="str">
        <f t="array" ref="B200">IFERROR(INDEX('Agenda 2026'!P$2:P$376,MATCH(ROWS($A$7:$A200),'Agenda 2026'!$N$2:$N$376,0)),"")</f>
        <v/>
      </c>
      <c r="C200" s="44" t="str">
        <f t="array" ref="C200">IFERROR(INDEX('Agenda 2026'!B$2:B$376,MATCH(ROWS($A$7:$A200),'Agenda 2026'!$N$2:$N$376,0)),"")</f>
        <v/>
      </c>
      <c r="D200" s="44" t="str">
        <f t="array" ref="D200">IFERROR(INDEX('Agenda 2026'!C$2:C$376,MATCH(ROWS($A$7:$A200),'Agenda 2026'!$N$2:$N$376,0)),"")</f>
        <v/>
      </c>
      <c r="E200" s="44" t="str">
        <f t="array" ref="E200">IFERROR(INDEX('Agenda 2026'!D$2:D$376,MATCH(ROWS($A$7:$A200),'Agenda 2026'!$N$2:$N$376,0)),"")</f>
        <v/>
      </c>
      <c r="F200" s="45" t="str">
        <f t="array" ref="F200">IFERROR(INDEX('Agenda 2026'!E$2:E$376,MATCH(ROWS($A$7:$A200),'Agenda 2026'!$N$2:$N$376,0)),"")</f>
        <v/>
      </c>
      <c r="G200" s="44" t="str">
        <f t="array" ref="G200">IFERROR(INDEX('Agenda 2026'!F$2:F$376,MATCH(ROWS($A$7:$A200),'Agenda 2026'!$N$2:$N$376,0)),"")</f>
        <v/>
      </c>
      <c r="H200" s="44" t="str">
        <f t="array" ref="H200">IFERROR(INDEX('Agenda 2026'!G$2:G$376,MATCH(ROWS($A$7:$A200),'Agenda 2026'!$N$2:$N$376,0)),"")</f>
        <v/>
      </c>
      <c r="I200" s="46" t="str">
        <f t="array" ref="I200">IFERROR(INDEX('Agenda 2026'!H$2:H$376,MATCH(ROWS($A$7:$A200),'Agenda 2026'!$N$2:$N$376,0)),"")</f>
        <v/>
      </c>
      <c r="J200" s="47"/>
      <c r="K200" s="48" t="str">
        <f t="array" ref="K200">IFERROR(HYPERLINK(INDEX('Agenda 2026'!J$2:J$376,MATCH(ROWS($A$7:$A200),'Agenda 2026'!$N$2:$N$376,0)),"Ver fuente ↗"),"")</f>
        <v/>
      </c>
      <c r="L200" s="49" t="str">
        <f t="array" ref="L200">IFERROR(INDEX('Agenda 2026'!K$2:K$376,MATCH(ROWS($A$7:$A200),'Agenda 2026'!$N$2:$N$376,0)),"")</f>
        <v/>
      </c>
      <c r="M200" s="50" t="str">
        <f t="array" ref="M200">IFERROR(INDEX('Agenda 2026'!O$2:O$376,MATCH(ROWS($A$7:$A200),'Agenda 2026'!$N$2:$N$376,0)),"")</f>
        <v/>
      </c>
    </row>
    <row r="201" spans="1:13" ht="42" customHeight="1" x14ac:dyDescent="0.35">
      <c r="A201" s="42" t="str">
        <f t="array" ref="A201">IFERROR(INDEX('Agenda 2026'!A$2:A$376,MATCH(ROWS($A$7:$A201),'Agenda 2026'!$N$2:$N$376,0)),"")</f>
        <v/>
      </c>
      <c r="B201" s="43" t="str">
        <f t="array" ref="B201">IFERROR(INDEX('Agenda 2026'!P$2:P$376,MATCH(ROWS($A$7:$A201),'Agenda 2026'!$N$2:$N$376,0)),"")</f>
        <v/>
      </c>
      <c r="C201" s="44" t="str">
        <f t="array" ref="C201">IFERROR(INDEX('Agenda 2026'!B$2:B$376,MATCH(ROWS($A$7:$A201),'Agenda 2026'!$N$2:$N$376,0)),"")</f>
        <v/>
      </c>
      <c r="D201" s="44" t="str">
        <f t="array" ref="D201">IFERROR(INDEX('Agenda 2026'!C$2:C$376,MATCH(ROWS($A$7:$A201),'Agenda 2026'!$N$2:$N$376,0)),"")</f>
        <v/>
      </c>
      <c r="E201" s="44" t="str">
        <f t="array" ref="E201">IFERROR(INDEX('Agenda 2026'!D$2:D$376,MATCH(ROWS($A$7:$A201),'Agenda 2026'!$N$2:$N$376,0)),"")</f>
        <v/>
      </c>
      <c r="F201" s="45" t="str">
        <f t="array" ref="F201">IFERROR(INDEX('Agenda 2026'!E$2:E$376,MATCH(ROWS($A$7:$A201),'Agenda 2026'!$N$2:$N$376,0)),"")</f>
        <v/>
      </c>
      <c r="G201" s="44" t="str">
        <f t="array" ref="G201">IFERROR(INDEX('Agenda 2026'!F$2:F$376,MATCH(ROWS($A$7:$A201),'Agenda 2026'!$N$2:$N$376,0)),"")</f>
        <v/>
      </c>
      <c r="H201" s="44" t="str">
        <f t="array" ref="H201">IFERROR(INDEX('Agenda 2026'!G$2:G$376,MATCH(ROWS($A$7:$A201),'Agenda 2026'!$N$2:$N$376,0)),"")</f>
        <v/>
      </c>
      <c r="I201" s="46" t="str">
        <f t="array" ref="I201">IFERROR(INDEX('Agenda 2026'!H$2:H$376,MATCH(ROWS($A$7:$A201),'Agenda 2026'!$N$2:$N$376,0)),"")</f>
        <v/>
      </c>
      <c r="J201" s="47"/>
      <c r="K201" s="48" t="str">
        <f t="array" ref="K201">IFERROR(HYPERLINK(INDEX('Agenda 2026'!J$2:J$376,MATCH(ROWS($A$7:$A201),'Agenda 2026'!$N$2:$N$376,0)),"Ver fuente ↗"),"")</f>
        <v/>
      </c>
      <c r="L201" s="49" t="str">
        <f t="array" ref="L201">IFERROR(INDEX('Agenda 2026'!K$2:K$376,MATCH(ROWS($A$7:$A201),'Agenda 2026'!$N$2:$N$376,0)),"")</f>
        <v/>
      </c>
      <c r="M201" s="50" t="str">
        <f t="array" ref="M201">IFERROR(INDEX('Agenda 2026'!O$2:O$376,MATCH(ROWS($A$7:$A201),'Agenda 2026'!$N$2:$N$376,0)),"")</f>
        <v/>
      </c>
    </row>
    <row r="202" spans="1:13" ht="42" customHeight="1" x14ac:dyDescent="0.35">
      <c r="A202" s="42" t="str">
        <f t="array" ref="A202">IFERROR(INDEX('Agenda 2026'!A$2:A$376,MATCH(ROWS($A$7:$A202),'Agenda 2026'!$N$2:$N$376,0)),"")</f>
        <v/>
      </c>
      <c r="B202" s="43" t="str">
        <f t="array" ref="B202">IFERROR(INDEX('Agenda 2026'!P$2:P$376,MATCH(ROWS($A$7:$A202),'Agenda 2026'!$N$2:$N$376,0)),"")</f>
        <v/>
      </c>
      <c r="C202" s="44" t="str">
        <f t="array" ref="C202">IFERROR(INDEX('Agenda 2026'!B$2:B$376,MATCH(ROWS($A$7:$A202),'Agenda 2026'!$N$2:$N$376,0)),"")</f>
        <v/>
      </c>
      <c r="D202" s="44" t="str">
        <f t="array" ref="D202">IFERROR(INDEX('Agenda 2026'!C$2:C$376,MATCH(ROWS($A$7:$A202),'Agenda 2026'!$N$2:$N$376,0)),"")</f>
        <v/>
      </c>
      <c r="E202" s="44" t="str">
        <f t="array" ref="E202">IFERROR(INDEX('Agenda 2026'!D$2:D$376,MATCH(ROWS($A$7:$A202),'Agenda 2026'!$N$2:$N$376,0)),"")</f>
        <v/>
      </c>
      <c r="F202" s="45" t="str">
        <f t="array" ref="F202">IFERROR(INDEX('Agenda 2026'!E$2:E$376,MATCH(ROWS($A$7:$A202),'Agenda 2026'!$N$2:$N$376,0)),"")</f>
        <v/>
      </c>
      <c r="G202" s="44" t="str">
        <f t="array" ref="G202">IFERROR(INDEX('Agenda 2026'!F$2:F$376,MATCH(ROWS($A$7:$A202),'Agenda 2026'!$N$2:$N$376,0)),"")</f>
        <v/>
      </c>
      <c r="H202" s="44" t="str">
        <f t="array" ref="H202">IFERROR(INDEX('Agenda 2026'!G$2:G$376,MATCH(ROWS($A$7:$A202),'Agenda 2026'!$N$2:$N$376,0)),"")</f>
        <v/>
      </c>
      <c r="I202" s="46" t="str">
        <f t="array" ref="I202">IFERROR(INDEX('Agenda 2026'!H$2:H$376,MATCH(ROWS($A$7:$A202),'Agenda 2026'!$N$2:$N$376,0)),"")</f>
        <v/>
      </c>
      <c r="J202" s="47"/>
      <c r="K202" s="48" t="str">
        <f t="array" ref="K202">IFERROR(HYPERLINK(INDEX('Agenda 2026'!J$2:J$376,MATCH(ROWS($A$7:$A202),'Agenda 2026'!$N$2:$N$376,0)),"Ver fuente ↗"),"")</f>
        <v/>
      </c>
      <c r="L202" s="49" t="str">
        <f t="array" ref="L202">IFERROR(INDEX('Agenda 2026'!K$2:K$376,MATCH(ROWS($A$7:$A202),'Agenda 2026'!$N$2:$N$376,0)),"")</f>
        <v/>
      </c>
      <c r="M202" s="50" t="str">
        <f t="array" ref="M202">IFERROR(INDEX('Agenda 2026'!O$2:O$376,MATCH(ROWS($A$7:$A202),'Agenda 2026'!$N$2:$N$376,0)),"")</f>
        <v/>
      </c>
    </row>
    <row r="203" spans="1:13" ht="42" customHeight="1" x14ac:dyDescent="0.35">
      <c r="A203" s="42" t="str">
        <f t="array" ref="A203">IFERROR(INDEX('Agenda 2026'!A$2:A$376,MATCH(ROWS($A$7:$A203),'Agenda 2026'!$N$2:$N$376,0)),"")</f>
        <v/>
      </c>
      <c r="B203" s="43" t="str">
        <f t="array" ref="B203">IFERROR(INDEX('Agenda 2026'!P$2:P$376,MATCH(ROWS($A$7:$A203),'Agenda 2026'!$N$2:$N$376,0)),"")</f>
        <v/>
      </c>
      <c r="C203" s="44" t="str">
        <f t="array" ref="C203">IFERROR(INDEX('Agenda 2026'!B$2:B$376,MATCH(ROWS($A$7:$A203),'Agenda 2026'!$N$2:$N$376,0)),"")</f>
        <v/>
      </c>
      <c r="D203" s="44" t="str">
        <f t="array" ref="D203">IFERROR(INDEX('Agenda 2026'!C$2:C$376,MATCH(ROWS($A$7:$A203),'Agenda 2026'!$N$2:$N$376,0)),"")</f>
        <v/>
      </c>
      <c r="E203" s="44" t="str">
        <f t="array" ref="E203">IFERROR(INDEX('Agenda 2026'!D$2:D$376,MATCH(ROWS($A$7:$A203),'Agenda 2026'!$N$2:$N$376,0)),"")</f>
        <v/>
      </c>
      <c r="F203" s="45" t="str">
        <f t="array" ref="F203">IFERROR(INDEX('Agenda 2026'!E$2:E$376,MATCH(ROWS($A$7:$A203),'Agenda 2026'!$N$2:$N$376,0)),"")</f>
        <v/>
      </c>
      <c r="G203" s="44" t="str">
        <f t="array" ref="G203">IFERROR(INDEX('Agenda 2026'!F$2:F$376,MATCH(ROWS($A$7:$A203),'Agenda 2026'!$N$2:$N$376,0)),"")</f>
        <v/>
      </c>
      <c r="H203" s="44" t="str">
        <f t="array" ref="H203">IFERROR(INDEX('Agenda 2026'!G$2:G$376,MATCH(ROWS($A$7:$A203),'Agenda 2026'!$N$2:$N$376,0)),"")</f>
        <v/>
      </c>
      <c r="I203" s="46" t="str">
        <f t="array" ref="I203">IFERROR(INDEX('Agenda 2026'!H$2:H$376,MATCH(ROWS($A$7:$A203),'Agenda 2026'!$N$2:$N$376,0)),"")</f>
        <v/>
      </c>
      <c r="J203" s="47"/>
      <c r="K203" s="48" t="str">
        <f t="array" ref="K203">IFERROR(HYPERLINK(INDEX('Agenda 2026'!J$2:J$376,MATCH(ROWS($A$7:$A203),'Agenda 2026'!$N$2:$N$376,0)),"Ver fuente ↗"),"")</f>
        <v/>
      </c>
      <c r="L203" s="49" t="str">
        <f t="array" ref="L203">IFERROR(INDEX('Agenda 2026'!K$2:K$376,MATCH(ROWS($A$7:$A203),'Agenda 2026'!$N$2:$N$376,0)),"")</f>
        <v/>
      </c>
      <c r="M203" s="50" t="str">
        <f t="array" ref="M203">IFERROR(INDEX('Agenda 2026'!O$2:O$376,MATCH(ROWS($A$7:$A203),'Agenda 2026'!$N$2:$N$376,0)),"")</f>
        <v/>
      </c>
    </row>
    <row r="204" spans="1:13" ht="42" customHeight="1" x14ac:dyDescent="0.35">
      <c r="A204" s="42" t="str">
        <f t="array" ref="A204">IFERROR(INDEX('Agenda 2026'!A$2:A$376,MATCH(ROWS($A$7:$A204),'Agenda 2026'!$N$2:$N$376,0)),"")</f>
        <v/>
      </c>
      <c r="B204" s="43" t="str">
        <f t="array" ref="B204">IFERROR(INDEX('Agenda 2026'!P$2:P$376,MATCH(ROWS($A$7:$A204),'Agenda 2026'!$N$2:$N$376,0)),"")</f>
        <v/>
      </c>
      <c r="C204" s="44" t="str">
        <f t="array" ref="C204">IFERROR(INDEX('Agenda 2026'!B$2:B$376,MATCH(ROWS($A$7:$A204),'Agenda 2026'!$N$2:$N$376,0)),"")</f>
        <v/>
      </c>
      <c r="D204" s="44" t="str">
        <f t="array" ref="D204">IFERROR(INDEX('Agenda 2026'!C$2:C$376,MATCH(ROWS($A$7:$A204),'Agenda 2026'!$N$2:$N$376,0)),"")</f>
        <v/>
      </c>
      <c r="E204" s="44" t="str">
        <f t="array" ref="E204">IFERROR(INDEX('Agenda 2026'!D$2:D$376,MATCH(ROWS($A$7:$A204),'Agenda 2026'!$N$2:$N$376,0)),"")</f>
        <v/>
      </c>
      <c r="F204" s="45" t="str">
        <f t="array" ref="F204">IFERROR(INDEX('Agenda 2026'!E$2:E$376,MATCH(ROWS($A$7:$A204),'Agenda 2026'!$N$2:$N$376,0)),"")</f>
        <v/>
      </c>
      <c r="G204" s="44" t="str">
        <f t="array" ref="G204">IFERROR(INDEX('Agenda 2026'!F$2:F$376,MATCH(ROWS($A$7:$A204),'Agenda 2026'!$N$2:$N$376,0)),"")</f>
        <v/>
      </c>
      <c r="H204" s="44" t="str">
        <f t="array" ref="H204">IFERROR(INDEX('Agenda 2026'!G$2:G$376,MATCH(ROWS($A$7:$A204),'Agenda 2026'!$N$2:$N$376,0)),"")</f>
        <v/>
      </c>
      <c r="I204" s="46" t="str">
        <f t="array" ref="I204">IFERROR(INDEX('Agenda 2026'!H$2:H$376,MATCH(ROWS($A$7:$A204),'Agenda 2026'!$N$2:$N$376,0)),"")</f>
        <v/>
      </c>
      <c r="J204" s="47"/>
      <c r="K204" s="48" t="str">
        <f t="array" ref="K204">IFERROR(HYPERLINK(INDEX('Agenda 2026'!J$2:J$376,MATCH(ROWS($A$7:$A204),'Agenda 2026'!$N$2:$N$376,0)),"Ver fuente ↗"),"")</f>
        <v/>
      </c>
      <c r="L204" s="49" t="str">
        <f t="array" ref="L204">IFERROR(INDEX('Agenda 2026'!K$2:K$376,MATCH(ROWS($A$7:$A204),'Agenda 2026'!$N$2:$N$376,0)),"")</f>
        <v/>
      </c>
      <c r="M204" s="50" t="str">
        <f t="array" ref="M204">IFERROR(INDEX('Agenda 2026'!O$2:O$376,MATCH(ROWS($A$7:$A204),'Agenda 2026'!$N$2:$N$376,0)),"")</f>
        <v/>
      </c>
    </row>
    <row r="205" spans="1:13" ht="42" customHeight="1" x14ac:dyDescent="0.35">
      <c r="A205" s="42" t="str">
        <f t="array" ref="A205">IFERROR(INDEX('Agenda 2026'!A$2:A$376,MATCH(ROWS($A$7:$A205),'Agenda 2026'!$N$2:$N$376,0)),"")</f>
        <v/>
      </c>
      <c r="B205" s="43" t="str">
        <f t="array" ref="B205">IFERROR(INDEX('Agenda 2026'!P$2:P$376,MATCH(ROWS($A$7:$A205),'Agenda 2026'!$N$2:$N$376,0)),"")</f>
        <v/>
      </c>
      <c r="C205" s="44" t="str">
        <f t="array" ref="C205">IFERROR(INDEX('Agenda 2026'!B$2:B$376,MATCH(ROWS($A$7:$A205),'Agenda 2026'!$N$2:$N$376,0)),"")</f>
        <v/>
      </c>
      <c r="D205" s="44" t="str">
        <f t="array" ref="D205">IFERROR(INDEX('Agenda 2026'!C$2:C$376,MATCH(ROWS($A$7:$A205),'Agenda 2026'!$N$2:$N$376,0)),"")</f>
        <v/>
      </c>
      <c r="E205" s="44" t="str">
        <f t="array" ref="E205">IFERROR(INDEX('Agenda 2026'!D$2:D$376,MATCH(ROWS($A$7:$A205),'Agenda 2026'!$N$2:$N$376,0)),"")</f>
        <v/>
      </c>
      <c r="F205" s="45" t="str">
        <f t="array" ref="F205">IFERROR(INDEX('Agenda 2026'!E$2:E$376,MATCH(ROWS($A$7:$A205),'Agenda 2026'!$N$2:$N$376,0)),"")</f>
        <v/>
      </c>
      <c r="G205" s="44" t="str">
        <f t="array" ref="G205">IFERROR(INDEX('Agenda 2026'!F$2:F$376,MATCH(ROWS($A$7:$A205),'Agenda 2026'!$N$2:$N$376,0)),"")</f>
        <v/>
      </c>
      <c r="H205" s="44" t="str">
        <f t="array" ref="H205">IFERROR(INDEX('Agenda 2026'!G$2:G$376,MATCH(ROWS($A$7:$A205),'Agenda 2026'!$N$2:$N$376,0)),"")</f>
        <v/>
      </c>
      <c r="I205" s="46" t="str">
        <f t="array" ref="I205">IFERROR(INDEX('Agenda 2026'!H$2:H$376,MATCH(ROWS($A$7:$A205),'Agenda 2026'!$N$2:$N$376,0)),"")</f>
        <v/>
      </c>
      <c r="J205" s="47"/>
      <c r="K205" s="48" t="str">
        <f t="array" ref="K205">IFERROR(HYPERLINK(INDEX('Agenda 2026'!J$2:J$376,MATCH(ROWS($A$7:$A205),'Agenda 2026'!$N$2:$N$376,0)),"Ver fuente ↗"),"")</f>
        <v/>
      </c>
      <c r="L205" s="49" t="str">
        <f t="array" ref="L205">IFERROR(INDEX('Agenda 2026'!K$2:K$376,MATCH(ROWS($A$7:$A205),'Agenda 2026'!$N$2:$N$376,0)),"")</f>
        <v/>
      </c>
      <c r="M205" s="50" t="str">
        <f t="array" ref="M205">IFERROR(INDEX('Agenda 2026'!O$2:O$376,MATCH(ROWS($A$7:$A205),'Agenda 2026'!$N$2:$N$376,0)),"")</f>
        <v/>
      </c>
    </row>
    <row r="206" spans="1:13" ht="42" customHeight="1" x14ac:dyDescent="0.35">
      <c r="A206" s="42" t="str">
        <f t="array" ref="A206">IFERROR(INDEX('Agenda 2026'!A$2:A$376,MATCH(ROWS($A$7:$A206),'Agenda 2026'!$N$2:$N$376,0)),"")</f>
        <v/>
      </c>
      <c r="B206" s="43" t="str">
        <f t="array" ref="B206">IFERROR(INDEX('Agenda 2026'!P$2:P$376,MATCH(ROWS($A$7:$A206),'Agenda 2026'!$N$2:$N$376,0)),"")</f>
        <v/>
      </c>
      <c r="C206" s="44" t="str">
        <f t="array" ref="C206">IFERROR(INDEX('Agenda 2026'!B$2:B$376,MATCH(ROWS($A$7:$A206),'Agenda 2026'!$N$2:$N$376,0)),"")</f>
        <v/>
      </c>
      <c r="D206" s="44" t="str">
        <f t="array" ref="D206">IFERROR(INDEX('Agenda 2026'!C$2:C$376,MATCH(ROWS($A$7:$A206),'Agenda 2026'!$N$2:$N$376,0)),"")</f>
        <v/>
      </c>
      <c r="E206" s="44" t="str">
        <f t="array" ref="E206">IFERROR(INDEX('Agenda 2026'!D$2:D$376,MATCH(ROWS($A$7:$A206),'Agenda 2026'!$N$2:$N$376,0)),"")</f>
        <v/>
      </c>
      <c r="F206" s="45" t="str">
        <f t="array" ref="F206">IFERROR(INDEX('Agenda 2026'!E$2:E$376,MATCH(ROWS($A$7:$A206),'Agenda 2026'!$N$2:$N$376,0)),"")</f>
        <v/>
      </c>
      <c r="G206" s="44" t="str">
        <f t="array" ref="G206">IFERROR(INDEX('Agenda 2026'!F$2:F$376,MATCH(ROWS($A$7:$A206),'Agenda 2026'!$N$2:$N$376,0)),"")</f>
        <v/>
      </c>
      <c r="H206" s="44" t="str">
        <f t="array" ref="H206">IFERROR(INDEX('Agenda 2026'!G$2:G$376,MATCH(ROWS($A$7:$A206),'Agenda 2026'!$N$2:$N$376,0)),"")</f>
        <v/>
      </c>
      <c r="I206" s="46" t="str">
        <f t="array" ref="I206">IFERROR(INDEX('Agenda 2026'!H$2:H$376,MATCH(ROWS($A$7:$A206),'Agenda 2026'!$N$2:$N$376,0)),"")</f>
        <v/>
      </c>
      <c r="J206" s="47"/>
      <c r="K206" s="48" t="str">
        <f t="array" ref="K206">IFERROR(HYPERLINK(INDEX('Agenda 2026'!J$2:J$376,MATCH(ROWS($A$7:$A206),'Agenda 2026'!$N$2:$N$376,0)),"Ver fuente ↗"),"")</f>
        <v/>
      </c>
      <c r="L206" s="49" t="str">
        <f t="array" ref="L206">IFERROR(INDEX('Agenda 2026'!K$2:K$376,MATCH(ROWS($A$7:$A206),'Agenda 2026'!$N$2:$N$376,0)),"")</f>
        <v/>
      </c>
      <c r="M206" s="50" t="str">
        <f t="array" ref="M206">IFERROR(INDEX('Agenda 2026'!O$2:O$376,MATCH(ROWS($A$7:$A206),'Agenda 2026'!$N$2:$N$376,0)),"")</f>
        <v/>
      </c>
    </row>
    <row r="207" spans="1:13" ht="42" customHeight="1" x14ac:dyDescent="0.35">
      <c r="A207" s="42" t="str">
        <f t="array" ref="A207">IFERROR(INDEX('Agenda 2026'!A$2:A$376,MATCH(ROWS($A$7:$A207),'Agenda 2026'!$N$2:$N$376,0)),"")</f>
        <v/>
      </c>
      <c r="B207" s="43" t="str">
        <f t="array" ref="B207">IFERROR(INDEX('Agenda 2026'!P$2:P$376,MATCH(ROWS($A$7:$A207),'Agenda 2026'!$N$2:$N$376,0)),"")</f>
        <v/>
      </c>
      <c r="C207" s="44" t="str">
        <f t="array" ref="C207">IFERROR(INDEX('Agenda 2026'!B$2:B$376,MATCH(ROWS($A$7:$A207),'Agenda 2026'!$N$2:$N$376,0)),"")</f>
        <v/>
      </c>
      <c r="D207" s="44" t="str">
        <f t="array" ref="D207">IFERROR(INDEX('Agenda 2026'!C$2:C$376,MATCH(ROWS($A$7:$A207),'Agenda 2026'!$N$2:$N$376,0)),"")</f>
        <v/>
      </c>
      <c r="E207" s="44" t="str">
        <f t="array" ref="E207">IFERROR(INDEX('Agenda 2026'!D$2:D$376,MATCH(ROWS($A$7:$A207),'Agenda 2026'!$N$2:$N$376,0)),"")</f>
        <v/>
      </c>
      <c r="F207" s="45" t="str">
        <f t="array" ref="F207">IFERROR(INDEX('Agenda 2026'!E$2:E$376,MATCH(ROWS($A$7:$A207),'Agenda 2026'!$N$2:$N$376,0)),"")</f>
        <v/>
      </c>
      <c r="G207" s="44" t="str">
        <f t="array" ref="G207">IFERROR(INDEX('Agenda 2026'!F$2:F$376,MATCH(ROWS($A$7:$A207),'Agenda 2026'!$N$2:$N$376,0)),"")</f>
        <v/>
      </c>
      <c r="H207" s="44" t="str">
        <f t="array" ref="H207">IFERROR(INDEX('Agenda 2026'!G$2:G$376,MATCH(ROWS($A$7:$A207),'Agenda 2026'!$N$2:$N$376,0)),"")</f>
        <v/>
      </c>
      <c r="I207" s="46" t="str">
        <f t="array" ref="I207">IFERROR(INDEX('Agenda 2026'!H$2:H$376,MATCH(ROWS($A$7:$A207),'Agenda 2026'!$N$2:$N$376,0)),"")</f>
        <v/>
      </c>
      <c r="J207" s="47"/>
      <c r="K207" s="48" t="str">
        <f t="array" ref="K207">IFERROR(HYPERLINK(INDEX('Agenda 2026'!J$2:J$376,MATCH(ROWS($A$7:$A207),'Agenda 2026'!$N$2:$N$376,0)),"Ver fuente ↗"),"")</f>
        <v/>
      </c>
      <c r="L207" s="49" t="str">
        <f t="array" ref="L207">IFERROR(INDEX('Agenda 2026'!K$2:K$376,MATCH(ROWS($A$7:$A207),'Agenda 2026'!$N$2:$N$376,0)),"")</f>
        <v/>
      </c>
      <c r="M207" s="50" t="str">
        <f t="array" ref="M207">IFERROR(INDEX('Agenda 2026'!O$2:O$376,MATCH(ROWS($A$7:$A207),'Agenda 2026'!$N$2:$N$376,0)),"")</f>
        <v/>
      </c>
    </row>
    <row r="208" spans="1:13" ht="42" customHeight="1" x14ac:dyDescent="0.35">
      <c r="A208" s="42" t="str">
        <f t="array" ref="A208">IFERROR(INDEX('Agenda 2026'!A$2:A$376,MATCH(ROWS($A$7:$A208),'Agenda 2026'!$N$2:$N$376,0)),"")</f>
        <v/>
      </c>
      <c r="B208" s="43" t="str">
        <f t="array" ref="B208">IFERROR(INDEX('Agenda 2026'!P$2:P$376,MATCH(ROWS($A$7:$A208),'Agenda 2026'!$N$2:$N$376,0)),"")</f>
        <v/>
      </c>
      <c r="C208" s="44" t="str">
        <f t="array" ref="C208">IFERROR(INDEX('Agenda 2026'!B$2:B$376,MATCH(ROWS($A$7:$A208),'Agenda 2026'!$N$2:$N$376,0)),"")</f>
        <v/>
      </c>
      <c r="D208" s="44" t="str">
        <f t="array" ref="D208">IFERROR(INDEX('Agenda 2026'!C$2:C$376,MATCH(ROWS($A$7:$A208),'Agenda 2026'!$N$2:$N$376,0)),"")</f>
        <v/>
      </c>
      <c r="E208" s="44" t="str">
        <f t="array" ref="E208">IFERROR(INDEX('Agenda 2026'!D$2:D$376,MATCH(ROWS($A$7:$A208),'Agenda 2026'!$N$2:$N$376,0)),"")</f>
        <v/>
      </c>
      <c r="F208" s="45" t="str">
        <f t="array" ref="F208">IFERROR(INDEX('Agenda 2026'!E$2:E$376,MATCH(ROWS($A$7:$A208),'Agenda 2026'!$N$2:$N$376,0)),"")</f>
        <v/>
      </c>
      <c r="G208" s="44" t="str">
        <f t="array" ref="G208">IFERROR(INDEX('Agenda 2026'!F$2:F$376,MATCH(ROWS($A$7:$A208),'Agenda 2026'!$N$2:$N$376,0)),"")</f>
        <v/>
      </c>
      <c r="H208" s="44" t="str">
        <f t="array" ref="H208">IFERROR(INDEX('Agenda 2026'!G$2:G$376,MATCH(ROWS($A$7:$A208),'Agenda 2026'!$N$2:$N$376,0)),"")</f>
        <v/>
      </c>
      <c r="I208" s="46" t="str">
        <f t="array" ref="I208">IFERROR(INDEX('Agenda 2026'!H$2:H$376,MATCH(ROWS($A$7:$A208),'Agenda 2026'!$N$2:$N$376,0)),"")</f>
        <v/>
      </c>
      <c r="J208" s="47"/>
      <c r="K208" s="48" t="str">
        <f t="array" ref="K208">IFERROR(HYPERLINK(INDEX('Agenda 2026'!J$2:J$376,MATCH(ROWS($A$7:$A208),'Agenda 2026'!$N$2:$N$376,0)),"Ver fuente ↗"),"")</f>
        <v/>
      </c>
      <c r="L208" s="49" t="str">
        <f t="array" ref="L208">IFERROR(INDEX('Agenda 2026'!K$2:K$376,MATCH(ROWS($A$7:$A208),'Agenda 2026'!$N$2:$N$376,0)),"")</f>
        <v/>
      </c>
      <c r="M208" s="50" t="str">
        <f t="array" ref="M208">IFERROR(INDEX('Agenda 2026'!O$2:O$376,MATCH(ROWS($A$7:$A208),'Agenda 2026'!$N$2:$N$376,0)),"")</f>
        <v/>
      </c>
    </row>
    <row r="209" spans="1:13" ht="42" customHeight="1" x14ac:dyDescent="0.35">
      <c r="A209" s="42" t="str">
        <f t="array" ref="A209">IFERROR(INDEX('Agenda 2026'!A$2:A$376,MATCH(ROWS($A$7:$A209),'Agenda 2026'!$N$2:$N$376,0)),"")</f>
        <v/>
      </c>
      <c r="B209" s="43" t="str">
        <f t="array" ref="B209">IFERROR(INDEX('Agenda 2026'!P$2:P$376,MATCH(ROWS($A$7:$A209),'Agenda 2026'!$N$2:$N$376,0)),"")</f>
        <v/>
      </c>
      <c r="C209" s="44" t="str">
        <f t="array" ref="C209">IFERROR(INDEX('Agenda 2026'!B$2:B$376,MATCH(ROWS($A$7:$A209),'Agenda 2026'!$N$2:$N$376,0)),"")</f>
        <v/>
      </c>
      <c r="D209" s="44" t="str">
        <f t="array" ref="D209">IFERROR(INDEX('Agenda 2026'!C$2:C$376,MATCH(ROWS($A$7:$A209),'Agenda 2026'!$N$2:$N$376,0)),"")</f>
        <v/>
      </c>
      <c r="E209" s="44" t="str">
        <f t="array" ref="E209">IFERROR(INDEX('Agenda 2026'!D$2:D$376,MATCH(ROWS($A$7:$A209),'Agenda 2026'!$N$2:$N$376,0)),"")</f>
        <v/>
      </c>
      <c r="F209" s="45" t="str">
        <f t="array" ref="F209">IFERROR(INDEX('Agenda 2026'!E$2:E$376,MATCH(ROWS($A$7:$A209),'Agenda 2026'!$N$2:$N$376,0)),"")</f>
        <v/>
      </c>
      <c r="G209" s="44" t="str">
        <f t="array" ref="G209">IFERROR(INDEX('Agenda 2026'!F$2:F$376,MATCH(ROWS($A$7:$A209),'Agenda 2026'!$N$2:$N$376,0)),"")</f>
        <v/>
      </c>
      <c r="H209" s="44" t="str">
        <f t="array" ref="H209">IFERROR(INDEX('Agenda 2026'!G$2:G$376,MATCH(ROWS($A$7:$A209),'Agenda 2026'!$N$2:$N$376,0)),"")</f>
        <v/>
      </c>
      <c r="I209" s="46" t="str">
        <f t="array" ref="I209">IFERROR(INDEX('Agenda 2026'!H$2:H$376,MATCH(ROWS($A$7:$A209),'Agenda 2026'!$N$2:$N$376,0)),"")</f>
        <v/>
      </c>
      <c r="J209" s="47"/>
      <c r="K209" s="48" t="str">
        <f t="array" ref="K209">IFERROR(HYPERLINK(INDEX('Agenda 2026'!J$2:J$376,MATCH(ROWS($A$7:$A209),'Agenda 2026'!$N$2:$N$376,0)),"Ver fuente ↗"),"")</f>
        <v/>
      </c>
      <c r="L209" s="49" t="str">
        <f t="array" ref="L209">IFERROR(INDEX('Agenda 2026'!K$2:K$376,MATCH(ROWS($A$7:$A209),'Agenda 2026'!$N$2:$N$376,0)),"")</f>
        <v/>
      </c>
      <c r="M209" s="50" t="str">
        <f t="array" ref="M209">IFERROR(INDEX('Agenda 2026'!O$2:O$376,MATCH(ROWS($A$7:$A209),'Agenda 2026'!$N$2:$N$376,0)),"")</f>
        <v/>
      </c>
    </row>
    <row r="210" spans="1:13" ht="42" customHeight="1" x14ac:dyDescent="0.35">
      <c r="A210" s="42" t="str">
        <f t="array" ref="A210">IFERROR(INDEX('Agenda 2026'!A$2:A$376,MATCH(ROWS($A$7:$A210),'Agenda 2026'!$N$2:$N$376,0)),"")</f>
        <v/>
      </c>
      <c r="B210" s="43" t="str">
        <f t="array" ref="B210">IFERROR(INDEX('Agenda 2026'!P$2:P$376,MATCH(ROWS($A$7:$A210),'Agenda 2026'!$N$2:$N$376,0)),"")</f>
        <v/>
      </c>
      <c r="C210" s="44" t="str">
        <f t="array" ref="C210">IFERROR(INDEX('Agenda 2026'!B$2:B$376,MATCH(ROWS($A$7:$A210),'Agenda 2026'!$N$2:$N$376,0)),"")</f>
        <v/>
      </c>
      <c r="D210" s="44" t="str">
        <f t="array" ref="D210">IFERROR(INDEX('Agenda 2026'!C$2:C$376,MATCH(ROWS($A$7:$A210),'Agenda 2026'!$N$2:$N$376,0)),"")</f>
        <v/>
      </c>
      <c r="E210" s="44" t="str">
        <f t="array" ref="E210">IFERROR(INDEX('Agenda 2026'!D$2:D$376,MATCH(ROWS($A$7:$A210),'Agenda 2026'!$N$2:$N$376,0)),"")</f>
        <v/>
      </c>
      <c r="F210" s="45" t="str">
        <f t="array" ref="F210">IFERROR(INDEX('Agenda 2026'!E$2:E$376,MATCH(ROWS($A$7:$A210),'Agenda 2026'!$N$2:$N$376,0)),"")</f>
        <v/>
      </c>
      <c r="G210" s="44" t="str">
        <f t="array" ref="G210">IFERROR(INDEX('Agenda 2026'!F$2:F$376,MATCH(ROWS($A$7:$A210),'Agenda 2026'!$N$2:$N$376,0)),"")</f>
        <v/>
      </c>
      <c r="H210" s="44" t="str">
        <f t="array" ref="H210">IFERROR(INDEX('Agenda 2026'!G$2:G$376,MATCH(ROWS($A$7:$A210),'Agenda 2026'!$N$2:$N$376,0)),"")</f>
        <v/>
      </c>
      <c r="I210" s="46" t="str">
        <f t="array" ref="I210">IFERROR(INDEX('Agenda 2026'!H$2:H$376,MATCH(ROWS($A$7:$A210),'Agenda 2026'!$N$2:$N$376,0)),"")</f>
        <v/>
      </c>
      <c r="J210" s="47"/>
      <c r="K210" s="48" t="str">
        <f t="array" ref="K210">IFERROR(HYPERLINK(INDEX('Agenda 2026'!J$2:J$376,MATCH(ROWS($A$7:$A210),'Agenda 2026'!$N$2:$N$376,0)),"Ver fuente ↗"),"")</f>
        <v/>
      </c>
      <c r="L210" s="49" t="str">
        <f t="array" ref="L210">IFERROR(INDEX('Agenda 2026'!K$2:K$376,MATCH(ROWS($A$7:$A210),'Agenda 2026'!$N$2:$N$376,0)),"")</f>
        <v/>
      </c>
      <c r="M210" s="50" t="str">
        <f t="array" ref="M210">IFERROR(INDEX('Agenda 2026'!O$2:O$376,MATCH(ROWS($A$7:$A210),'Agenda 2026'!$N$2:$N$376,0)),"")</f>
        <v/>
      </c>
    </row>
    <row r="211" spans="1:13" ht="42" customHeight="1" x14ac:dyDescent="0.35">
      <c r="A211" s="42" t="str">
        <f t="array" ref="A211">IFERROR(INDEX('Agenda 2026'!A$2:A$376,MATCH(ROWS($A$7:$A211),'Agenda 2026'!$N$2:$N$376,0)),"")</f>
        <v/>
      </c>
      <c r="B211" s="43" t="str">
        <f t="array" ref="B211">IFERROR(INDEX('Agenda 2026'!P$2:P$376,MATCH(ROWS($A$7:$A211),'Agenda 2026'!$N$2:$N$376,0)),"")</f>
        <v/>
      </c>
      <c r="C211" s="44" t="str">
        <f t="array" ref="C211">IFERROR(INDEX('Agenda 2026'!B$2:B$376,MATCH(ROWS($A$7:$A211),'Agenda 2026'!$N$2:$N$376,0)),"")</f>
        <v/>
      </c>
      <c r="D211" s="44" t="str">
        <f t="array" ref="D211">IFERROR(INDEX('Agenda 2026'!C$2:C$376,MATCH(ROWS($A$7:$A211),'Agenda 2026'!$N$2:$N$376,0)),"")</f>
        <v/>
      </c>
      <c r="E211" s="44" t="str">
        <f t="array" ref="E211">IFERROR(INDEX('Agenda 2026'!D$2:D$376,MATCH(ROWS($A$7:$A211),'Agenda 2026'!$N$2:$N$376,0)),"")</f>
        <v/>
      </c>
      <c r="F211" s="45" t="str">
        <f t="array" ref="F211">IFERROR(INDEX('Agenda 2026'!E$2:E$376,MATCH(ROWS($A$7:$A211),'Agenda 2026'!$N$2:$N$376,0)),"")</f>
        <v/>
      </c>
      <c r="G211" s="44" t="str">
        <f t="array" ref="G211">IFERROR(INDEX('Agenda 2026'!F$2:F$376,MATCH(ROWS($A$7:$A211),'Agenda 2026'!$N$2:$N$376,0)),"")</f>
        <v/>
      </c>
      <c r="H211" s="44" t="str">
        <f t="array" ref="H211">IFERROR(INDEX('Agenda 2026'!G$2:G$376,MATCH(ROWS($A$7:$A211),'Agenda 2026'!$N$2:$N$376,0)),"")</f>
        <v/>
      </c>
      <c r="I211" s="46" t="str">
        <f t="array" ref="I211">IFERROR(INDEX('Agenda 2026'!H$2:H$376,MATCH(ROWS($A$7:$A211),'Agenda 2026'!$N$2:$N$376,0)),"")</f>
        <v/>
      </c>
      <c r="J211" s="47"/>
      <c r="K211" s="48" t="str">
        <f t="array" ref="K211">IFERROR(HYPERLINK(INDEX('Agenda 2026'!J$2:J$376,MATCH(ROWS($A$7:$A211),'Agenda 2026'!$N$2:$N$376,0)),"Ver fuente ↗"),"")</f>
        <v/>
      </c>
      <c r="L211" s="49" t="str">
        <f t="array" ref="L211">IFERROR(INDEX('Agenda 2026'!K$2:K$376,MATCH(ROWS($A$7:$A211),'Agenda 2026'!$N$2:$N$376,0)),"")</f>
        <v/>
      </c>
      <c r="M211" s="50" t="str">
        <f t="array" ref="M211">IFERROR(INDEX('Agenda 2026'!O$2:O$376,MATCH(ROWS($A$7:$A211),'Agenda 2026'!$N$2:$N$376,0)),"")</f>
        <v/>
      </c>
    </row>
    <row r="212" spans="1:13" ht="42" customHeight="1" x14ac:dyDescent="0.35">
      <c r="A212" s="42" t="str">
        <f t="array" ref="A212">IFERROR(INDEX('Agenda 2026'!A$2:A$376,MATCH(ROWS($A$7:$A212),'Agenda 2026'!$N$2:$N$376,0)),"")</f>
        <v/>
      </c>
      <c r="B212" s="43" t="str">
        <f t="array" ref="B212">IFERROR(INDEX('Agenda 2026'!P$2:P$376,MATCH(ROWS($A$7:$A212),'Agenda 2026'!$N$2:$N$376,0)),"")</f>
        <v/>
      </c>
      <c r="C212" s="44" t="str">
        <f t="array" ref="C212">IFERROR(INDEX('Agenda 2026'!B$2:B$376,MATCH(ROWS($A$7:$A212),'Agenda 2026'!$N$2:$N$376,0)),"")</f>
        <v/>
      </c>
      <c r="D212" s="44" t="str">
        <f t="array" ref="D212">IFERROR(INDEX('Agenda 2026'!C$2:C$376,MATCH(ROWS($A$7:$A212),'Agenda 2026'!$N$2:$N$376,0)),"")</f>
        <v/>
      </c>
      <c r="E212" s="44" t="str">
        <f t="array" ref="E212">IFERROR(INDEX('Agenda 2026'!D$2:D$376,MATCH(ROWS($A$7:$A212),'Agenda 2026'!$N$2:$N$376,0)),"")</f>
        <v/>
      </c>
      <c r="F212" s="45" t="str">
        <f t="array" ref="F212">IFERROR(INDEX('Agenda 2026'!E$2:E$376,MATCH(ROWS($A$7:$A212),'Agenda 2026'!$N$2:$N$376,0)),"")</f>
        <v/>
      </c>
      <c r="G212" s="44" t="str">
        <f t="array" ref="G212">IFERROR(INDEX('Agenda 2026'!F$2:F$376,MATCH(ROWS($A$7:$A212),'Agenda 2026'!$N$2:$N$376,0)),"")</f>
        <v/>
      </c>
      <c r="H212" s="44" t="str">
        <f t="array" ref="H212">IFERROR(INDEX('Agenda 2026'!G$2:G$376,MATCH(ROWS($A$7:$A212),'Agenda 2026'!$N$2:$N$376,0)),"")</f>
        <v/>
      </c>
      <c r="I212" s="46" t="str">
        <f t="array" ref="I212">IFERROR(INDEX('Agenda 2026'!H$2:H$376,MATCH(ROWS($A$7:$A212),'Agenda 2026'!$N$2:$N$376,0)),"")</f>
        <v/>
      </c>
      <c r="J212" s="47"/>
      <c r="K212" s="48" t="str">
        <f t="array" ref="K212">IFERROR(HYPERLINK(INDEX('Agenda 2026'!J$2:J$376,MATCH(ROWS($A$7:$A212),'Agenda 2026'!$N$2:$N$376,0)),"Ver fuente ↗"),"")</f>
        <v/>
      </c>
      <c r="L212" s="49" t="str">
        <f t="array" ref="L212">IFERROR(INDEX('Agenda 2026'!K$2:K$376,MATCH(ROWS($A$7:$A212),'Agenda 2026'!$N$2:$N$376,0)),"")</f>
        <v/>
      </c>
      <c r="M212" s="50" t="str">
        <f t="array" ref="M212">IFERROR(INDEX('Agenda 2026'!O$2:O$376,MATCH(ROWS($A$7:$A212),'Agenda 2026'!$N$2:$N$376,0)),"")</f>
        <v/>
      </c>
    </row>
    <row r="213" spans="1:13" ht="42" customHeight="1" x14ac:dyDescent="0.35">
      <c r="A213" s="42" t="str">
        <f t="array" ref="A213">IFERROR(INDEX('Agenda 2026'!A$2:A$376,MATCH(ROWS($A$7:$A213),'Agenda 2026'!$N$2:$N$376,0)),"")</f>
        <v/>
      </c>
      <c r="B213" s="43" t="str">
        <f t="array" ref="B213">IFERROR(INDEX('Agenda 2026'!P$2:P$376,MATCH(ROWS($A$7:$A213),'Agenda 2026'!$N$2:$N$376,0)),"")</f>
        <v/>
      </c>
      <c r="C213" s="44" t="str">
        <f t="array" ref="C213">IFERROR(INDEX('Agenda 2026'!B$2:B$376,MATCH(ROWS($A$7:$A213),'Agenda 2026'!$N$2:$N$376,0)),"")</f>
        <v/>
      </c>
      <c r="D213" s="44" t="str">
        <f t="array" ref="D213">IFERROR(INDEX('Agenda 2026'!C$2:C$376,MATCH(ROWS($A$7:$A213),'Agenda 2026'!$N$2:$N$376,0)),"")</f>
        <v/>
      </c>
      <c r="E213" s="44" t="str">
        <f t="array" ref="E213">IFERROR(INDEX('Agenda 2026'!D$2:D$376,MATCH(ROWS($A$7:$A213),'Agenda 2026'!$N$2:$N$376,0)),"")</f>
        <v/>
      </c>
      <c r="F213" s="45" t="str">
        <f t="array" ref="F213">IFERROR(INDEX('Agenda 2026'!E$2:E$376,MATCH(ROWS($A$7:$A213),'Agenda 2026'!$N$2:$N$376,0)),"")</f>
        <v/>
      </c>
      <c r="G213" s="44" t="str">
        <f t="array" ref="G213">IFERROR(INDEX('Agenda 2026'!F$2:F$376,MATCH(ROWS($A$7:$A213),'Agenda 2026'!$N$2:$N$376,0)),"")</f>
        <v/>
      </c>
      <c r="H213" s="44" t="str">
        <f t="array" ref="H213">IFERROR(INDEX('Agenda 2026'!G$2:G$376,MATCH(ROWS($A$7:$A213),'Agenda 2026'!$N$2:$N$376,0)),"")</f>
        <v/>
      </c>
      <c r="I213" s="46" t="str">
        <f t="array" ref="I213">IFERROR(INDEX('Agenda 2026'!H$2:H$376,MATCH(ROWS($A$7:$A213),'Agenda 2026'!$N$2:$N$376,0)),"")</f>
        <v/>
      </c>
      <c r="J213" s="47"/>
      <c r="K213" s="48" t="str">
        <f t="array" ref="K213">IFERROR(HYPERLINK(INDEX('Agenda 2026'!J$2:J$376,MATCH(ROWS($A$7:$A213),'Agenda 2026'!$N$2:$N$376,0)),"Ver fuente ↗"),"")</f>
        <v/>
      </c>
      <c r="L213" s="49" t="str">
        <f t="array" ref="L213">IFERROR(INDEX('Agenda 2026'!K$2:K$376,MATCH(ROWS($A$7:$A213),'Agenda 2026'!$N$2:$N$376,0)),"")</f>
        <v/>
      </c>
      <c r="M213" s="50" t="str">
        <f t="array" ref="M213">IFERROR(INDEX('Agenda 2026'!O$2:O$376,MATCH(ROWS($A$7:$A213),'Agenda 2026'!$N$2:$N$376,0)),"")</f>
        <v/>
      </c>
    </row>
    <row r="214" spans="1:13" ht="42" customHeight="1" x14ac:dyDescent="0.35">
      <c r="A214" s="42" t="str">
        <f t="array" ref="A214">IFERROR(INDEX('Agenda 2026'!A$2:A$376,MATCH(ROWS($A$7:$A214),'Agenda 2026'!$N$2:$N$376,0)),"")</f>
        <v/>
      </c>
      <c r="B214" s="43" t="str">
        <f t="array" ref="B214">IFERROR(INDEX('Agenda 2026'!P$2:P$376,MATCH(ROWS($A$7:$A214),'Agenda 2026'!$N$2:$N$376,0)),"")</f>
        <v/>
      </c>
      <c r="C214" s="44" t="str">
        <f t="array" ref="C214">IFERROR(INDEX('Agenda 2026'!B$2:B$376,MATCH(ROWS($A$7:$A214),'Agenda 2026'!$N$2:$N$376,0)),"")</f>
        <v/>
      </c>
      <c r="D214" s="44" t="str">
        <f t="array" ref="D214">IFERROR(INDEX('Agenda 2026'!C$2:C$376,MATCH(ROWS($A$7:$A214),'Agenda 2026'!$N$2:$N$376,0)),"")</f>
        <v/>
      </c>
      <c r="E214" s="44" t="str">
        <f t="array" ref="E214">IFERROR(INDEX('Agenda 2026'!D$2:D$376,MATCH(ROWS($A$7:$A214),'Agenda 2026'!$N$2:$N$376,0)),"")</f>
        <v/>
      </c>
      <c r="F214" s="45" t="str">
        <f t="array" ref="F214">IFERROR(INDEX('Agenda 2026'!E$2:E$376,MATCH(ROWS($A$7:$A214),'Agenda 2026'!$N$2:$N$376,0)),"")</f>
        <v/>
      </c>
      <c r="G214" s="44" t="str">
        <f t="array" ref="G214">IFERROR(INDEX('Agenda 2026'!F$2:F$376,MATCH(ROWS($A$7:$A214),'Agenda 2026'!$N$2:$N$376,0)),"")</f>
        <v/>
      </c>
      <c r="H214" s="44" t="str">
        <f t="array" ref="H214">IFERROR(INDEX('Agenda 2026'!G$2:G$376,MATCH(ROWS($A$7:$A214),'Agenda 2026'!$N$2:$N$376,0)),"")</f>
        <v/>
      </c>
      <c r="I214" s="46" t="str">
        <f t="array" ref="I214">IFERROR(INDEX('Agenda 2026'!H$2:H$376,MATCH(ROWS($A$7:$A214),'Agenda 2026'!$N$2:$N$376,0)),"")</f>
        <v/>
      </c>
      <c r="J214" s="47"/>
      <c r="K214" s="48" t="str">
        <f t="array" ref="K214">IFERROR(HYPERLINK(INDEX('Agenda 2026'!J$2:J$376,MATCH(ROWS($A$7:$A214),'Agenda 2026'!$N$2:$N$376,0)),"Ver fuente ↗"),"")</f>
        <v/>
      </c>
      <c r="L214" s="49" t="str">
        <f t="array" ref="L214">IFERROR(INDEX('Agenda 2026'!K$2:K$376,MATCH(ROWS($A$7:$A214),'Agenda 2026'!$N$2:$N$376,0)),"")</f>
        <v/>
      </c>
      <c r="M214" s="50" t="str">
        <f t="array" ref="M214">IFERROR(INDEX('Agenda 2026'!O$2:O$376,MATCH(ROWS($A$7:$A214),'Agenda 2026'!$N$2:$N$376,0)),"")</f>
        <v/>
      </c>
    </row>
    <row r="215" spans="1:13" ht="42" customHeight="1" x14ac:dyDescent="0.35">
      <c r="A215" s="42" t="str">
        <f t="array" ref="A215">IFERROR(INDEX('Agenda 2026'!A$2:A$376,MATCH(ROWS($A$7:$A215),'Agenda 2026'!$N$2:$N$376,0)),"")</f>
        <v/>
      </c>
      <c r="B215" s="43" t="str">
        <f t="array" ref="B215">IFERROR(INDEX('Agenda 2026'!P$2:P$376,MATCH(ROWS($A$7:$A215),'Agenda 2026'!$N$2:$N$376,0)),"")</f>
        <v/>
      </c>
      <c r="C215" s="44" t="str">
        <f t="array" ref="C215">IFERROR(INDEX('Agenda 2026'!B$2:B$376,MATCH(ROWS($A$7:$A215),'Agenda 2026'!$N$2:$N$376,0)),"")</f>
        <v/>
      </c>
      <c r="D215" s="44" t="str">
        <f t="array" ref="D215">IFERROR(INDEX('Agenda 2026'!C$2:C$376,MATCH(ROWS($A$7:$A215),'Agenda 2026'!$N$2:$N$376,0)),"")</f>
        <v/>
      </c>
      <c r="E215" s="44" t="str">
        <f t="array" ref="E215">IFERROR(INDEX('Agenda 2026'!D$2:D$376,MATCH(ROWS($A$7:$A215),'Agenda 2026'!$N$2:$N$376,0)),"")</f>
        <v/>
      </c>
      <c r="F215" s="45" t="str">
        <f t="array" ref="F215">IFERROR(INDEX('Agenda 2026'!E$2:E$376,MATCH(ROWS($A$7:$A215),'Agenda 2026'!$N$2:$N$376,0)),"")</f>
        <v/>
      </c>
      <c r="G215" s="44" t="str">
        <f t="array" ref="G215">IFERROR(INDEX('Agenda 2026'!F$2:F$376,MATCH(ROWS($A$7:$A215),'Agenda 2026'!$N$2:$N$376,0)),"")</f>
        <v/>
      </c>
      <c r="H215" s="44" t="str">
        <f t="array" ref="H215">IFERROR(INDEX('Agenda 2026'!G$2:G$376,MATCH(ROWS($A$7:$A215),'Agenda 2026'!$N$2:$N$376,0)),"")</f>
        <v/>
      </c>
      <c r="I215" s="46" t="str">
        <f t="array" ref="I215">IFERROR(INDEX('Agenda 2026'!H$2:H$376,MATCH(ROWS($A$7:$A215),'Agenda 2026'!$N$2:$N$376,0)),"")</f>
        <v/>
      </c>
      <c r="J215" s="47"/>
      <c r="K215" s="48" t="str">
        <f t="array" ref="K215">IFERROR(HYPERLINK(INDEX('Agenda 2026'!J$2:J$376,MATCH(ROWS($A$7:$A215),'Agenda 2026'!$N$2:$N$376,0)),"Ver fuente ↗"),"")</f>
        <v/>
      </c>
      <c r="L215" s="49" t="str">
        <f t="array" ref="L215">IFERROR(INDEX('Agenda 2026'!K$2:K$376,MATCH(ROWS($A$7:$A215),'Agenda 2026'!$N$2:$N$376,0)),"")</f>
        <v/>
      </c>
      <c r="M215" s="50" t="str">
        <f t="array" ref="M215">IFERROR(INDEX('Agenda 2026'!O$2:O$376,MATCH(ROWS($A$7:$A215),'Agenda 2026'!$N$2:$N$376,0)),"")</f>
        <v/>
      </c>
    </row>
    <row r="216" spans="1:13" ht="42" customHeight="1" x14ac:dyDescent="0.35">
      <c r="A216" s="42" t="str">
        <f t="array" ref="A216">IFERROR(INDEX('Agenda 2026'!A$2:A$376,MATCH(ROWS($A$7:$A216),'Agenda 2026'!$N$2:$N$376,0)),"")</f>
        <v/>
      </c>
      <c r="B216" s="43" t="str">
        <f t="array" ref="B216">IFERROR(INDEX('Agenda 2026'!P$2:P$376,MATCH(ROWS($A$7:$A216),'Agenda 2026'!$N$2:$N$376,0)),"")</f>
        <v/>
      </c>
      <c r="C216" s="44" t="str">
        <f t="array" ref="C216">IFERROR(INDEX('Agenda 2026'!B$2:B$376,MATCH(ROWS($A$7:$A216),'Agenda 2026'!$N$2:$N$376,0)),"")</f>
        <v/>
      </c>
      <c r="D216" s="44" t="str">
        <f t="array" ref="D216">IFERROR(INDEX('Agenda 2026'!C$2:C$376,MATCH(ROWS($A$7:$A216),'Agenda 2026'!$N$2:$N$376,0)),"")</f>
        <v/>
      </c>
      <c r="E216" s="44" t="str">
        <f t="array" ref="E216">IFERROR(INDEX('Agenda 2026'!D$2:D$376,MATCH(ROWS($A$7:$A216),'Agenda 2026'!$N$2:$N$376,0)),"")</f>
        <v/>
      </c>
      <c r="F216" s="45" t="str">
        <f t="array" ref="F216">IFERROR(INDEX('Agenda 2026'!E$2:E$376,MATCH(ROWS($A$7:$A216),'Agenda 2026'!$N$2:$N$376,0)),"")</f>
        <v/>
      </c>
      <c r="G216" s="44" t="str">
        <f t="array" ref="G216">IFERROR(INDEX('Agenda 2026'!F$2:F$376,MATCH(ROWS($A$7:$A216),'Agenda 2026'!$N$2:$N$376,0)),"")</f>
        <v/>
      </c>
      <c r="H216" s="44" t="str">
        <f t="array" ref="H216">IFERROR(INDEX('Agenda 2026'!G$2:G$376,MATCH(ROWS($A$7:$A216),'Agenda 2026'!$N$2:$N$376,0)),"")</f>
        <v/>
      </c>
      <c r="I216" s="46" t="str">
        <f t="array" ref="I216">IFERROR(INDEX('Agenda 2026'!H$2:H$376,MATCH(ROWS($A$7:$A216),'Agenda 2026'!$N$2:$N$376,0)),"")</f>
        <v/>
      </c>
      <c r="J216" s="47"/>
      <c r="K216" s="48" t="str">
        <f t="array" ref="K216">IFERROR(HYPERLINK(INDEX('Agenda 2026'!J$2:J$376,MATCH(ROWS($A$7:$A216),'Agenda 2026'!$N$2:$N$376,0)),"Ver fuente ↗"),"")</f>
        <v/>
      </c>
      <c r="L216" s="49" t="str">
        <f t="array" ref="L216">IFERROR(INDEX('Agenda 2026'!K$2:K$376,MATCH(ROWS($A$7:$A216),'Agenda 2026'!$N$2:$N$376,0)),"")</f>
        <v/>
      </c>
      <c r="M216" s="50" t="str">
        <f t="array" ref="M216">IFERROR(INDEX('Agenda 2026'!O$2:O$376,MATCH(ROWS($A$7:$A216),'Agenda 2026'!$N$2:$N$376,0)),"")</f>
        <v/>
      </c>
    </row>
    <row r="217" spans="1:13" ht="42" customHeight="1" x14ac:dyDescent="0.35">
      <c r="A217" s="42" t="str">
        <f t="array" ref="A217">IFERROR(INDEX('Agenda 2026'!A$2:A$376,MATCH(ROWS($A$7:$A217),'Agenda 2026'!$N$2:$N$376,0)),"")</f>
        <v/>
      </c>
      <c r="B217" s="43" t="str">
        <f t="array" ref="B217">IFERROR(INDEX('Agenda 2026'!P$2:P$376,MATCH(ROWS($A$7:$A217),'Agenda 2026'!$N$2:$N$376,0)),"")</f>
        <v/>
      </c>
      <c r="C217" s="44" t="str">
        <f t="array" ref="C217">IFERROR(INDEX('Agenda 2026'!B$2:B$376,MATCH(ROWS($A$7:$A217),'Agenda 2026'!$N$2:$N$376,0)),"")</f>
        <v/>
      </c>
      <c r="D217" s="44" t="str">
        <f t="array" ref="D217">IFERROR(INDEX('Agenda 2026'!C$2:C$376,MATCH(ROWS($A$7:$A217),'Agenda 2026'!$N$2:$N$376,0)),"")</f>
        <v/>
      </c>
      <c r="E217" s="44" t="str">
        <f t="array" ref="E217">IFERROR(INDEX('Agenda 2026'!D$2:D$376,MATCH(ROWS($A$7:$A217),'Agenda 2026'!$N$2:$N$376,0)),"")</f>
        <v/>
      </c>
      <c r="F217" s="45" t="str">
        <f t="array" ref="F217">IFERROR(INDEX('Agenda 2026'!E$2:E$376,MATCH(ROWS($A$7:$A217),'Agenda 2026'!$N$2:$N$376,0)),"")</f>
        <v/>
      </c>
      <c r="G217" s="44" t="str">
        <f t="array" ref="G217">IFERROR(INDEX('Agenda 2026'!F$2:F$376,MATCH(ROWS($A$7:$A217),'Agenda 2026'!$N$2:$N$376,0)),"")</f>
        <v/>
      </c>
      <c r="H217" s="44" t="str">
        <f t="array" ref="H217">IFERROR(INDEX('Agenda 2026'!G$2:G$376,MATCH(ROWS($A$7:$A217),'Agenda 2026'!$N$2:$N$376,0)),"")</f>
        <v/>
      </c>
      <c r="I217" s="46" t="str">
        <f t="array" ref="I217">IFERROR(INDEX('Agenda 2026'!H$2:H$376,MATCH(ROWS($A$7:$A217),'Agenda 2026'!$N$2:$N$376,0)),"")</f>
        <v/>
      </c>
      <c r="J217" s="47"/>
      <c r="K217" s="48" t="str">
        <f t="array" ref="K217">IFERROR(HYPERLINK(INDEX('Agenda 2026'!J$2:J$376,MATCH(ROWS($A$7:$A217),'Agenda 2026'!$N$2:$N$376,0)),"Ver fuente ↗"),"")</f>
        <v/>
      </c>
      <c r="L217" s="49" t="str">
        <f t="array" ref="L217">IFERROR(INDEX('Agenda 2026'!K$2:K$376,MATCH(ROWS($A$7:$A217),'Agenda 2026'!$N$2:$N$376,0)),"")</f>
        <v/>
      </c>
      <c r="M217" s="50" t="str">
        <f t="array" ref="M217">IFERROR(INDEX('Agenda 2026'!O$2:O$376,MATCH(ROWS($A$7:$A217),'Agenda 2026'!$N$2:$N$376,0)),"")</f>
        <v/>
      </c>
    </row>
    <row r="218" spans="1:13" ht="42" customHeight="1" x14ac:dyDescent="0.35">
      <c r="A218" s="42" t="str">
        <f t="array" ref="A218">IFERROR(INDEX('Agenda 2026'!A$2:A$376,MATCH(ROWS($A$7:$A218),'Agenda 2026'!$N$2:$N$376,0)),"")</f>
        <v/>
      </c>
      <c r="B218" s="43" t="str">
        <f t="array" ref="B218">IFERROR(INDEX('Agenda 2026'!P$2:P$376,MATCH(ROWS($A$7:$A218),'Agenda 2026'!$N$2:$N$376,0)),"")</f>
        <v/>
      </c>
      <c r="C218" s="44" t="str">
        <f t="array" ref="C218">IFERROR(INDEX('Agenda 2026'!B$2:B$376,MATCH(ROWS($A$7:$A218),'Agenda 2026'!$N$2:$N$376,0)),"")</f>
        <v/>
      </c>
      <c r="D218" s="44" t="str">
        <f t="array" ref="D218">IFERROR(INDEX('Agenda 2026'!C$2:C$376,MATCH(ROWS($A$7:$A218),'Agenda 2026'!$N$2:$N$376,0)),"")</f>
        <v/>
      </c>
      <c r="E218" s="44" t="str">
        <f t="array" ref="E218">IFERROR(INDEX('Agenda 2026'!D$2:D$376,MATCH(ROWS($A$7:$A218),'Agenda 2026'!$N$2:$N$376,0)),"")</f>
        <v/>
      </c>
      <c r="F218" s="45" t="str">
        <f t="array" ref="F218">IFERROR(INDEX('Agenda 2026'!E$2:E$376,MATCH(ROWS($A$7:$A218),'Agenda 2026'!$N$2:$N$376,0)),"")</f>
        <v/>
      </c>
      <c r="G218" s="44" t="str">
        <f t="array" ref="G218">IFERROR(INDEX('Agenda 2026'!F$2:F$376,MATCH(ROWS($A$7:$A218),'Agenda 2026'!$N$2:$N$376,0)),"")</f>
        <v/>
      </c>
      <c r="H218" s="44" t="str">
        <f t="array" ref="H218">IFERROR(INDEX('Agenda 2026'!G$2:G$376,MATCH(ROWS($A$7:$A218),'Agenda 2026'!$N$2:$N$376,0)),"")</f>
        <v/>
      </c>
      <c r="I218" s="46" t="str">
        <f t="array" ref="I218">IFERROR(INDEX('Agenda 2026'!H$2:H$376,MATCH(ROWS($A$7:$A218),'Agenda 2026'!$N$2:$N$376,0)),"")</f>
        <v/>
      </c>
      <c r="J218" s="47"/>
      <c r="K218" s="48" t="str">
        <f t="array" ref="K218">IFERROR(HYPERLINK(INDEX('Agenda 2026'!J$2:J$376,MATCH(ROWS($A$7:$A218),'Agenda 2026'!$N$2:$N$376,0)),"Ver fuente ↗"),"")</f>
        <v/>
      </c>
      <c r="L218" s="49" t="str">
        <f t="array" ref="L218">IFERROR(INDEX('Agenda 2026'!K$2:K$376,MATCH(ROWS($A$7:$A218),'Agenda 2026'!$N$2:$N$376,0)),"")</f>
        <v/>
      </c>
      <c r="M218" s="50" t="str">
        <f t="array" ref="M218">IFERROR(INDEX('Agenda 2026'!O$2:O$376,MATCH(ROWS($A$7:$A218),'Agenda 2026'!$N$2:$N$376,0)),"")</f>
        <v/>
      </c>
    </row>
    <row r="219" spans="1:13" ht="42" customHeight="1" x14ac:dyDescent="0.35">
      <c r="A219" s="42" t="str">
        <f t="array" ref="A219">IFERROR(INDEX('Agenda 2026'!A$2:A$376,MATCH(ROWS($A$7:$A219),'Agenda 2026'!$N$2:$N$376,0)),"")</f>
        <v/>
      </c>
      <c r="B219" s="43" t="str">
        <f t="array" ref="B219">IFERROR(INDEX('Agenda 2026'!P$2:P$376,MATCH(ROWS($A$7:$A219),'Agenda 2026'!$N$2:$N$376,0)),"")</f>
        <v/>
      </c>
      <c r="C219" s="44" t="str">
        <f t="array" ref="C219">IFERROR(INDEX('Agenda 2026'!B$2:B$376,MATCH(ROWS($A$7:$A219),'Agenda 2026'!$N$2:$N$376,0)),"")</f>
        <v/>
      </c>
      <c r="D219" s="44" t="str">
        <f t="array" ref="D219">IFERROR(INDEX('Agenda 2026'!C$2:C$376,MATCH(ROWS($A$7:$A219),'Agenda 2026'!$N$2:$N$376,0)),"")</f>
        <v/>
      </c>
      <c r="E219" s="44" t="str">
        <f t="array" ref="E219">IFERROR(INDEX('Agenda 2026'!D$2:D$376,MATCH(ROWS($A$7:$A219),'Agenda 2026'!$N$2:$N$376,0)),"")</f>
        <v/>
      </c>
      <c r="F219" s="45" t="str">
        <f t="array" ref="F219">IFERROR(INDEX('Agenda 2026'!E$2:E$376,MATCH(ROWS($A$7:$A219),'Agenda 2026'!$N$2:$N$376,0)),"")</f>
        <v/>
      </c>
      <c r="G219" s="44" t="str">
        <f t="array" ref="G219">IFERROR(INDEX('Agenda 2026'!F$2:F$376,MATCH(ROWS($A$7:$A219),'Agenda 2026'!$N$2:$N$376,0)),"")</f>
        <v/>
      </c>
      <c r="H219" s="44" t="str">
        <f t="array" ref="H219">IFERROR(INDEX('Agenda 2026'!G$2:G$376,MATCH(ROWS($A$7:$A219),'Agenda 2026'!$N$2:$N$376,0)),"")</f>
        <v/>
      </c>
      <c r="I219" s="46" t="str">
        <f t="array" ref="I219">IFERROR(INDEX('Agenda 2026'!H$2:H$376,MATCH(ROWS($A$7:$A219),'Agenda 2026'!$N$2:$N$376,0)),"")</f>
        <v/>
      </c>
      <c r="J219" s="47"/>
      <c r="K219" s="48" t="str">
        <f t="array" ref="K219">IFERROR(HYPERLINK(INDEX('Agenda 2026'!J$2:J$376,MATCH(ROWS($A$7:$A219),'Agenda 2026'!$N$2:$N$376,0)),"Ver fuente ↗"),"")</f>
        <v/>
      </c>
      <c r="L219" s="49" t="str">
        <f t="array" ref="L219">IFERROR(INDEX('Agenda 2026'!K$2:K$376,MATCH(ROWS($A$7:$A219),'Agenda 2026'!$N$2:$N$376,0)),"")</f>
        <v/>
      </c>
      <c r="M219" s="50" t="str">
        <f t="array" ref="M219">IFERROR(INDEX('Agenda 2026'!O$2:O$376,MATCH(ROWS($A$7:$A219),'Agenda 2026'!$N$2:$N$376,0)),"")</f>
        <v/>
      </c>
    </row>
    <row r="220" spans="1:13" ht="42" customHeight="1" x14ac:dyDescent="0.35">
      <c r="A220" s="42" t="str">
        <f t="array" ref="A220">IFERROR(INDEX('Agenda 2026'!A$2:A$376,MATCH(ROWS($A$7:$A220),'Agenda 2026'!$N$2:$N$376,0)),"")</f>
        <v/>
      </c>
      <c r="B220" s="43" t="str">
        <f t="array" ref="B220">IFERROR(INDEX('Agenda 2026'!P$2:P$376,MATCH(ROWS($A$7:$A220),'Agenda 2026'!$N$2:$N$376,0)),"")</f>
        <v/>
      </c>
      <c r="C220" s="44" t="str">
        <f t="array" ref="C220">IFERROR(INDEX('Agenda 2026'!B$2:B$376,MATCH(ROWS($A$7:$A220),'Agenda 2026'!$N$2:$N$376,0)),"")</f>
        <v/>
      </c>
      <c r="D220" s="44" t="str">
        <f t="array" ref="D220">IFERROR(INDEX('Agenda 2026'!C$2:C$376,MATCH(ROWS($A$7:$A220),'Agenda 2026'!$N$2:$N$376,0)),"")</f>
        <v/>
      </c>
      <c r="E220" s="44" t="str">
        <f t="array" ref="E220">IFERROR(INDEX('Agenda 2026'!D$2:D$376,MATCH(ROWS($A$7:$A220),'Agenda 2026'!$N$2:$N$376,0)),"")</f>
        <v/>
      </c>
      <c r="F220" s="45" t="str">
        <f t="array" ref="F220">IFERROR(INDEX('Agenda 2026'!E$2:E$376,MATCH(ROWS($A$7:$A220),'Agenda 2026'!$N$2:$N$376,0)),"")</f>
        <v/>
      </c>
      <c r="G220" s="44" t="str">
        <f t="array" ref="G220">IFERROR(INDEX('Agenda 2026'!F$2:F$376,MATCH(ROWS($A$7:$A220),'Agenda 2026'!$N$2:$N$376,0)),"")</f>
        <v/>
      </c>
      <c r="H220" s="44" t="str">
        <f t="array" ref="H220">IFERROR(INDEX('Agenda 2026'!G$2:G$376,MATCH(ROWS($A$7:$A220),'Agenda 2026'!$N$2:$N$376,0)),"")</f>
        <v/>
      </c>
      <c r="I220" s="46" t="str">
        <f t="array" ref="I220">IFERROR(INDEX('Agenda 2026'!H$2:H$376,MATCH(ROWS($A$7:$A220),'Agenda 2026'!$N$2:$N$376,0)),"")</f>
        <v/>
      </c>
      <c r="J220" s="47"/>
      <c r="K220" s="48" t="str">
        <f t="array" ref="K220">IFERROR(HYPERLINK(INDEX('Agenda 2026'!J$2:J$376,MATCH(ROWS($A$7:$A220),'Agenda 2026'!$N$2:$N$376,0)),"Ver fuente ↗"),"")</f>
        <v/>
      </c>
      <c r="L220" s="49" t="str">
        <f t="array" ref="L220">IFERROR(INDEX('Agenda 2026'!K$2:K$376,MATCH(ROWS($A$7:$A220),'Agenda 2026'!$N$2:$N$376,0)),"")</f>
        <v/>
      </c>
      <c r="M220" s="50" t="str">
        <f t="array" ref="M220">IFERROR(INDEX('Agenda 2026'!O$2:O$376,MATCH(ROWS($A$7:$A220),'Agenda 2026'!$N$2:$N$376,0)),"")</f>
        <v/>
      </c>
    </row>
    <row r="221" spans="1:13" ht="42" customHeight="1" x14ac:dyDescent="0.35">
      <c r="A221" s="42" t="str">
        <f t="array" ref="A221">IFERROR(INDEX('Agenda 2026'!A$2:A$376,MATCH(ROWS($A$7:$A221),'Agenda 2026'!$N$2:$N$376,0)),"")</f>
        <v/>
      </c>
      <c r="B221" s="43" t="str">
        <f t="array" ref="B221">IFERROR(INDEX('Agenda 2026'!P$2:P$376,MATCH(ROWS($A$7:$A221),'Agenda 2026'!$N$2:$N$376,0)),"")</f>
        <v/>
      </c>
      <c r="C221" s="44" t="str">
        <f t="array" ref="C221">IFERROR(INDEX('Agenda 2026'!B$2:B$376,MATCH(ROWS($A$7:$A221),'Agenda 2026'!$N$2:$N$376,0)),"")</f>
        <v/>
      </c>
      <c r="D221" s="44" t="str">
        <f t="array" ref="D221">IFERROR(INDEX('Agenda 2026'!C$2:C$376,MATCH(ROWS($A$7:$A221),'Agenda 2026'!$N$2:$N$376,0)),"")</f>
        <v/>
      </c>
      <c r="E221" s="44" t="str">
        <f t="array" ref="E221">IFERROR(INDEX('Agenda 2026'!D$2:D$376,MATCH(ROWS($A$7:$A221),'Agenda 2026'!$N$2:$N$376,0)),"")</f>
        <v/>
      </c>
      <c r="F221" s="45" t="str">
        <f t="array" ref="F221">IFERROR(INDEX('Agenda 2026'!E$2:E$376,MATCH(ROWS($A$7:$A221),'Agenda 2026'!$N$2:$N$376,0)),"")</f>
        <v/>
      </c>
      <c r="G221" s="44" t="str">
        <f t="array" ref="G221">IFERROR(INDEX('Agenda 2026'!F$2:F$376,MATCH(ROWS($A$7:$A221),'Agenda 2026'!$N$2:$N$376,0)),"")</f>
        <v/>
      </c>
      <c r="H221" s="44" t="str">
        <f t="array" ref="H221">IFERROR(INDEX('Agenda 2026'!G$2:G$376,MATCH(ROWS($A$7:$A221),'Agenda 2026'!$N$2:$N$376,0)),"")</f>
        <v/>
      </c>
      <c r="I221" s="46" t="str">
        <f t="array" ref="I221">IFERROR(INDEX('Agenda 2026'!H$2:H$376,MATCH(ROWS($A$7:$A221),'Agenda 2026'!$N$2:$N$376,0)),"")</f>
        <v/>
      </c>
      <c r="J221" s="47"/>
      <c r="K221" s="48" t="str">
        <f t="array" ref="K221">IFERROR(HYPERLINK(INDEX('Agenda 2026'!J$2:J$376,MATCH(ROWS($A$7:$A221),'Agenda 2026'!$N$2:$N$376,0)),"Ver fuente ↗"),"")</f>
        <v/>
      </c>
      <c r="L221" s="49" t="str">
        <f t="array" ref="L221">IFERROR(INDEX('Agenda 2026'!K$2:K$376,MATCH(ROWS($A$7:$A221),'Agenda 2026'!$N$2:$N$376,0)),"")</f>
        <v/>
      </c>
      <c r="M221" s="50" t="str">
        <f t="array" ref="M221">IFERROR(INDEX('Agenda 2026'!O$2:O$376,MATCH(ROWS($A$7:$A221),'Agenda 2026'!$N$2:$N$376,0)),"")</f>
        <v/>
      </c>
    </row>
    <row r="222" spans="1:13" ht="42" customHeight="1" x14ac:dyDescent="0.35">
      <c r="A222" s="42" t="str">
        <f t="array" ref="A222">IFERROR(INDEX('Agenda 2026'!A$2:A$376,MATCH(ROWS($A$7:$A222),'Agenda 2026'!$N$2:$N$376,0)),"")</f>
        <v/>
      </c>
      <c r="B222" s="43" t="str">
        <f t="array" ref="B222">IFERROR(INDEX('Agenda 2026'!P$2:P$376,MATCH(ROWS($A$7:$A222),'Agenda 2026'!$N$2:$N$376,0)),"")</f>
        <v/>
      </c>
      <c r="C222" s="44" t="str">
        <f t="array" ref="C222">IFERROR(INDEX('Agenda 2026'!B$2:B$376,MATCH(ROWS($A$7:$A222),'Agenda 2026'!$N$2:$N$376,0)),"")</f>
        <v/>
      </c>
      <c r="D222" s="44" t="str">
        <f t="array" ref="D222">IFERROR(INDEX('Agenda 2026'!C$2:C$376,MATCH(ROWS($A$7:$A222),'Agenda 2026'!$N$2:$N$376,0)),"")</f>
        <v/>
      </c>
      <c r="E222" s="44" t="str">
        <f t="array" ref="E222">IFERROR(INDEX('Agenda 2026'!D$2:D$376,MATCH(ROWS($A$7:$A222),'Agenda 2026'!$N$2:$N$376,0)),"")</f>
        <v/>
      </c>
      <c r="F222" s="45" t="str">
        <f t="array" ref="F222">IFERROR(INDEX('Agenda 2026'!E$2:E$376,MATCH(ROWS($A$7:$A222),'Agenda 2026'!$N$2:$N$376,0)),"")</f>
        <v/>
      </c>
      <c r="G222" s="44" t="str">
        <f t="array" ref="G222">IFERROR(INDEX('Agenda 2026'!F$2:F$376,MATCH(ROWS($A$7:$A222),'Agenda 2026'!$N$2:$N$376,0)),"")</f>
        <v/>
      </c>
      <c r="H222" s="44" t="str">
        <f t="array" ref="H222">IFERROR(INDEX('Agenda 2026'!G$2:G$376,MATCH(ROWS($A$7:$A222),'Agenda 2026'!$N$2:$N$376,0)),"")</f>
        <v/>
      </c>
      <c r="I222" s="46" t="str">
        <f t="array" ref="I222">IFERROR(INDEX('Agenda 2026'!H$2:H$376,MATCH(ROWS($A$7:$A222),'Agenda 2026'!$N$2:$N$376,0)),"")</f>
        <v/>
      </c>
      <c r="J222" s="47"/>
      <c r="K222" s="48" t="str">
        <f t="array" ref="K222">IFERROR(HYPERLINK(INDEX('Agenda 2026'!J$2:J$376,MATCH(ROWS($A$7:$A222),'Agenda 2026'!$N$2:$N$376,0)),"Ver fuente ↗"),"")</f>
        <v/>
      </c>
      <c r="L222" s="49" t="str">
        <f t="array" ref="L222">IFERROR(INDEX('Agenda 2026'!K$2:K$376,MATCH(ROWS($A$7:$A222),'Agenda 2026'!$N$2:$N$376,0)),"")</f>
        <v/>
      </c>
      <c r="M222" s="50" t="str">
        <f t="array" ref="M222">IFERROR(INDEX('Agenda 2026'!O$2:O$376,MATCH(ROWS($A$7:$A222),'Agenda 2026'!$N$2:$N$376,0)),"")</f>
        <v/>
      </c>
    </row>
    <row r="223" spans="1:13" ht="42" customHeight="1" x14ac:dyDescent="0.35">
      <c r="A223" s="42" t="str">
        <f t="array" ref="A223">IFERROR(INDEX('Agenda 2026'!A$2:A$376,MATCH(ROWS($A$7:$A223),'Agenda 2026'!$N$2:$N$376,0)),"")</f>
        <v/>
      </c>
      <c r="B223" s="43" t="str">
        <f t="array" ref="B223">IFERROR(INDEX('Agenda 2026'!P$2:P$376,MATCH(ROWS($A$7:$A223),'Agenda 2026'!$N$2:$N$376,0)),"")</f>
        <v/>
      </c>
      <c r="C223" s="44" t="str">
        <f t="array" ref="C223">IFERROR(INDEX('Agenda 2026'!B$2:B$376,MATCH(ROWS($A$7:$A223),'Agenda 2026'!$N$2:$N$376,0)),"")</f>
        <v/>
      </c>
      <c r="D223" s="44" t="str">
        <f t="array" ref="D223">IFERROR(INDEX('Agenda 2026'!C$2:C$376,MATCH(ROWS($A$7:$A223),'Agenda 2026'!$N$2:$N$376,0)),"")</f>
        <v/>
      </c>
      <c r="E223" s="44" t="str">
        <f t="array" ref="E223">IFERROR(INDEX('Agenda 2026'!D$2:D$376,MATCH(ROWS($A$7:$A223),'Agenda 2026'!$N$2:$N$376,0)),"")</f>
        <v/>
      </c>
      <c r="F223" s="45" t="str">
        <f t="array" ref="F223">IFERROR(INDEX('Agenda 2026'!E$2:E$376,MATCH(ROWS($A$7:$A223),'Agenda 2026'!$N$2:$N$376,0)),"")</f>
        <v/>
      </c>
      <c r="G223" s="44" t="str">
        <f t="array" ref="G223">IFERROR(INDEX('Agenda 2026'!F$2:F$376,MATCH(ROWS($A$7:$A223),'Agenda 2026'!$N$2:$N$376,0)),"")</f>
        <v/>
      </c>
      <c r="H223" s="44" t="str">
        <f t="array" ref="H223">IFERROR(INDEX('Agenda 2026'!G$2:G$376,MATCH(ROWS($A$7:$A223),'Agenda 2026'!$N$2:$N$376,0)),"")</f>
        <v/>
      </c>
      <c r="I223" s="46" t="str">
        <f t="array" ref="I223">IFERROR(INDEX('Agenda 2026'!H$2:H$376,MATCH(ROWS($A$7:$A223),'Agenda 2026'!$N$2:$N$376,0)),"")</f>
        <v/>
      </c>
      <c r="J223" s="47"/>
      <c r="K223" s="48" t="str">
        <f t="array" ref="K223">IFERROR(HYPERLINK(INDEX('Agenda 2026'!J$2:J$376,MATCH(ROWS($A$7:$A223),'Agenda 2026'!$N$2:$N$376,0)),"Ver fuente ↗"),"")</f>
        <v/>
      </c>
      <c r="L223" s="49" t="str">
        <f t="array" ref="L223">IFERROR(INDEX('Agenda 2026'!K$2:K$376,MATCH(ROWS($A$7:$A223),'Agenda 2026'!$N$2:$N$376,0)),"")</f>
        <v/>
      </c>
      <c r="M223" s="50" t="str">
        <f t="array" ref="M223">IFERROR(INDEX('Agenda 2026'!O$2:O$376,MATCH(ROWS($A$7:$A223),'Agenda 2026'!$N$2:$N$376,0)),"")</f>
        <v/>
      </c>
    </row>
    <row r="224" spans="1:13" ht="42" customHeight="1" x14ac:dyDescent="0.35">
      <c r="A224" s="42" t="str">
        <f t="array" ref="A224">IFERROR(INDEX('Agenda 2026'!A$2:A$376,MATCH(ROWS($A$7:$A224),'Agenda 2026'!$N$2:$N$376,0)),"")</f>
        <v/>
      </c>
      <c r="B224" s="43" t="str">
        <f t="array" ref="B224">IFERROR(INDEX('Agenda 2026'!P$2:P$376,MATCH(ROWS($A$7:$A224),'Agenda 2026'!$N$2:$N$376,0)),"")</f>
        <v/>
      </c>
      <c r="C224" s="44" t="str">
        <f t="array" ref="C224">IFERROR(INDEX('Agenda 2026'!B$2:B$376,MATCH(ROWS($A$7:$A224),'Agenda 2026'!$N$2:$N$376,0)),"")</f>
        <v/>
      </c>
      <c r="D224" s="44" t="str">
        <f t="array" ref="D224">IFERROR(INDEX('Agenda 2026'!C$2:C$376,MATCH(ROWS($A$7:$A224),'Agenda 2026'!$N$2:$N$376,0)),"")</f>
        <v/>
      </c>
      <c r="E224" s="44" t="str">
        <f t="array" ref="E224">IFERROR(INDEX('Agenda 2026'!D$2:D$376,MATCH(ROWS($A$7:$A224),'Agenda 2026'!$N$2:$N$376,0)),"")</f>
        <v/>
      </c>
      <c r="F224" s="45" t="str">
        <f t="array" ref="F224">IFERROR(INDEX('Agenda 2026'!E$2:E$376,MATCH(ROWS($A$7:$A224),'Agenda 2026'!$N$2:$N$376,0)),"")</f>
        <v/>
      </c>
      <c r="G224" s="44" t="str">
        <f t="array" ref="G224">IFERROR(INDEX('Agenda 2026'!F$2:F$376,MATCH(ROWS($A$7:$A224),'Agenda 2026'!$N$2:$N$376,0)),"")</f>
        <v/>
      </c>
      <c r="H224" s="44" t="str">
        <f t="array" ref="H224">IFERROR(INDEX('Agenda 2026'!G$2:G$376,MATCH(ROWS($A$7:$A224),'Agenda 2026'!$N$2:$N$376,0)),"")</f>
        <v/>
      </c>
      <c r="I224" s="46" t="str">
        <f t="array" ref="I224">IFERROR(INDEX('Agenda 2026'!H$2:H$376,MATCH(ROWS($A$7:$A224),'Agenda 2026'!$N$2:$N$376,0)),"")</f>
        <v/>
      </c>
      <c r="J224" s="47"/>
      <c r="K224" s="48" t="str">
        <f t="array" ref="K224">IFERROR(HYPERLINK(INDEX('Agenda 2026'!J$2:J$376,MATCH(ROWS($A$7:$A224),'Agenda 2026'!$N$2:$N$376,0)),"Ver fuente ↗"),"")</f>
        <v/>
      </c>
      <c r="L224" s="49" t="str">
        <f t="array" ref="L224">IFERROR(INDEX('Agenda 2026'!K$2:K$376,MATCH(ROWS($A$7:$A224),'Agenda 2026'!$N$2:$N$376,0)),"")</f>
        <v/>
      </c>
      <c r="M224" s="50" t="str">
        <f t="array" ref="M224">IFERROR(INDEX('Agenda 2026'!O$2:O$376,MATCH(ROWS($A$7:$A224),'Agenda 2026'!$N$2:$N$376,0)),"")</f>
        <v/>
      </c>
    </row>
    <row r="225" spans="1:13" ht="42" customHeight="1" x14ac:dyDescent="0.35">
      <c r="A225" s="42" t="str">
        <f t="array" ref="A225">IFERROR(INDEX('Agenda 2026'!A$2:A$376,MATCH(ROWS($A$7:$A225),'Agenda 2026'!$N$2:$N$376,0)),"")</f>
        <v/>
      </c>
      <c r="B225" s="43" t="str">
        <f t="array" ref="B225">IFERROR(INDEX('Agenda 2026'!P$2:P$376,MATCH(ROWS($A$7:$A225),'Agenda 2026'!$N$2:$N$376,0)),"")</f>
        <v/>
      </c>
      <c r="C225" s="44" t="str">
        <f t="array" ref="C225">IFERROR(INDEX('Agenda 2026'!B$2:B$376,MATCH(ROWS($A$7:$A225),'Agenda 2026'!$N$2:$N$376,0)),"")</f>
        <v/>
      </c>
      <c r="D225" s="44" t="str">
        <f t="array" ref="D225">IFERROR(INDEX('Agenda 2026'!C$2:C$376,MATCH(ROWS($A$7:$A225),'Agenda 2026'!$N$2:$N$376,0)),"")</f>
        <v/>
      </c>
      <c r="E225" s="44" t="str">
        <f t="array" ref="E225">IFERROR(INDEX('Agenda 2026'!D$2:D$376,MATCH(ROWS($A$7:$A225),'Agenda 2026'!$N$2:$N$376,0)),"")</f>
        <v/>
      </c>
      <c r="F225" s="45" t="str">
        <f t="array" ref="F225">IFERROR(INDEX('Agenda 2026'!E$2:E$376,MATCH(ROWS($A$7:$A225),'Agenda 2026'!$N$2:$N$376,0)),"")</f>
        <v/>
      </c>
      <c r="G225" s="44" t="str">
        <f t="array" ref="G225">IFERROR(INDEX('Agenda 2026'!F$2:F$376,MATCH(ROWS($A$7:$A225),'Agenda 2026'!$N$2:$N$376,0)),"")</f>
        <v/>
      </c>
      <c r="H225" s="44" t="str">
        <f t="array" ref="H225">IFERROR(INDEX('Agenda 2026'!G$2:G$376,MATCH(ROWS($A$7:$A225),'Agenda 2026'!$N$2:$N$376,0)),"")</f>
        <v/>
      </c>
      <c r="I225" s="46" t="str">
        <f t="array" ref="I225">IFERROR(INDEX('Agenda 2026'!H$2:H$376,MATCH(ROWS($A$7:$A225),'Agenda 2026'!$N$2:$N$376,0)),"")</f>
        <v/>
      </c>
      <c r="J225" s="47"/>
      <c r="K225" s="48" t="str">
        <f t="array" ref="K225">IFERROR(HYPERLINK(INDEX('Agenda 2026'!J$2:J$376,MATCH(ROWS($A$7:$A225),'Agenda 2026'!$N$2:$N$376,0)),"Ver fuente ↗"),"")</f>
        <v/>
      </c>
      <c r="L225" s="49" t="str">
        <f t="array" ref="L225">IFERROR(INDEX('Agenda 2026'!K$2:K$376,MATCH(ROWS($A$7:$A225),'Agenda 2026'!$N$2:$N$376,0)),"")</f>
        <v/>
      </c>
      <c r="M225" s="50" t="str">
        <f t="array" ref="M225">IFERROR(INDEX('Agenda 2026'!O$2:O$376,MATCH(ROWS($A$7:$A225),'Agenda 2026'!$N$2:$N$376,0)),"")</f>
        <v/>
      </c>
    </row>
    <row r="226" spans="1:13" ht="42" customHeight="1" x14ac:dyDescent="0.35">
      <c r="A226" s="42" t="str">
        <f t="array" ref="A226">IFERROR(INDEX('Agenda 2026'!A$2:A$376,MATCH(ROWS($A$7:$A226),'Agenda 2026'!$N$2:$N$376,0)),"")</f>
        <v/>
      </c>
      <c r="B226" s="43" t="str">
        <f t="array" ref="B226">IFERROR(INDEX('Agenda 2026'!P$2:P$376,MATCH(ROWS($A$7:$A226),'Agenda 2026'!$N$2:$N$376,0)),"")</f>
        <v/>
      </c>
      <c r="C226" s="44" t="str">
        <f t="array" ref="C226">IFERROR(INDEX('Agenda 2026'!B$2:B$376,MATCH(ROWS($A$7:$A226),'Agenda 2026'!$N$2:$N$376,0)),"")</f>
        <v/>
      </c>
      <c r="D226" s="44" t="str">
        <f t="array" ref="D226">IFERROR(INDEX('Agenda 2026'!C$2:C$376,MATCH(ROWS($A$7:$A226),'Agenda 2026'!$N$2:$N$376,0)),"")</f>
        <v/>
      </c>
      <c r="E226" s="44" t="str">
        <f t="array" ref="E226">IFERROR(INDEX('Agenda 2026'!D$2:D$376,MATCH(ROWS($A$7:$A226),'Agenda 2026'!$N$2:$N$376,0)),"")</f>
        <v/>
      </c>
      <c r="F226" s="45" t="str">
        <f t="array" ref="F226">IFERROR(INDEX('Agenda 2026'!E$2:E$376,MATCH(ROWS($A$7:$A226),'Agenda 2026'!$N$2:$N$376,0)),"")</f>
        <v/>
      </c>
      <c r="G226" s="44" t="str">
        <f t="array" ref="G226">IFERROR(INDEX('Agenda 2026'!F$2:F$376,MATCH(ROWS($A$7:$A226),'Agenda 2026'!$N$2:$N$376,0)),"")</f>
        <v/>
      </c>
      <c r="H226" s="44" t="str">
        <f t="array" ref="H226">IFERROR(INDEX('Agenda 2026'!G$2:G$376,MATCH(ROWS($A$7:$A226),'Agenda 2026'!$N$2:$N$376,0)),"")</f>
        <v/>
      </c>
      <c r="I226" s="46" t="str">
        <f t="array" ref="I226">IFERROR(INDEX('Agenda 2026'!H$2:H$376,MATCH(ROWS($A$7:$A226),'Agenda 2026'!$N$2:$N$376,0)),"")</f>
        <v/>
      </c>
      <c r="J226" s="47"/>
      <c r="K226" s="48" t="str">
        <f t="array" ref="K226">IFERROR(HYPERLINK(INDEX('Agenda 2026'!J$2:J$376,MATCH(ROWS($A$7:$A226),'Agenda 2026'!$N$2:$N$376,0)),"Ver fuente ↗"),"")</f>
        <v/>
      </c>
      <c r="L226" s="49" t="str">
        <f t="array" ref="L226">IFERROR(INDEX('Agenda 2026'!K$2:K$376,MATCH(ROWS($A$7:$A226),'Agenda 2026'!$N$2:$N$376,0)),"")</f>
        <v/>
      </c>
      <c r="M226" s="50" t="str">
        <f t="array" ref="M226">IFERROR(INDEX('Agenda 2026'!O$2:O$376,MATCH(ROWS($A$7:$A226),'Agenda 2026'!$N$2:$N$376,0)),"")</f>
        <v/>
      </c>
    </row>
    <row r="227" spans="1:13" ht="42" customHeight="1" x14ac:dyDescent="0.35">
      <c r="A227" s="42" t="str">
        <f t="array" ref="A227">IFERROR(INDEX('Agenda 2026'!A$2:A$376,MATCH(ROWS($A$7:$A227),'Agenda 2026'!$N$2:$N$376,0)),"")</f>
        <v/>
      </c>
      <c r="B227" s="43" t="str">
        <f t="array" ref="B227">IFERROR(INDEX('Agenda 2026'!P$2:P$376,MATCH(ROWS($A$7:$A227),'Agenda 2026'!$N$2:$N$376,0)),"")</f>
        <v/>
      </c>
      <c r="C227" s="44" t="str">
        <f t="array" ref="C227">IFERROR(INDEX('Agenda 2026'!B$2:B$376,MATCH(ROWS($A$7:$A227),'Agenda 2026'!$N$2:$N$376,0)),"")</f>
        <v/>
      </c>
      <c r="D227" s="44" t="str">
        <f t="array" ref="D227">IFERROR(INDEX('Agenda 2026'!C$2:C$376,MATCH(ROWS($A$7:$A227),'Agenda 2026'!$N$2:$N$376,0)),"")</f>
        <v/>
      </c>
      <c r="E227" s="44" t="str">
        <f t="array" ref="E227">IFERROR(INDEX('Agenda 2026'!D$2:D$376,MATCH(ROWS($A$7:$A227),'Agenda 2026'!$N$2:$N$376,0)),"")</f>
        <v/>
      </c>
      <c r="F227" s="45" t="str">
        <f t="array" ref="F227">IFERROR(INDEX('Agenda 2026'!E$2:E$376,MATCH(ROWS($A$7:$A227),'Agenda 2026'!$N$2:$N$376,0)),"")</f>
        <v/>
      </c>
      <c r="G227" s="44" t="str">
        <f t="array" ref="G227">IFERROR(INDEX('Agenda 2026'!F$2:F$376,MATCH(ROWS($A$7:$A227),'Agenda 2026'!$N$2:$N$376,0)),"")</f>
        <v/>
      </c>
      <c r="H227" s="44" t="str">
        <f t="array" ref="H227">IFERROR(INDEX('Agenda 2026'!G$2:G$376,MATCH(ROWS($A$7:$A227),'Agenda 2026'!$N$2:$N$376,0)),"")</f>
        <v/>
      </c>
      <c r="I227" s="46" t="str">
        <f t="array" ref="I227">IFERROR(INDEX('Agenda 2026'!H$2:H$376,MATCH(ROWS($A$7:$A227),'Agenda 2026'!$N$2:$N$376,0)),"")</f>
        <v/>
      </c>
      <c r="J227" s="47"/>
      <c r="K227" s="48" t="str">
        <f t="array" ref="K227">IFERROR(HYPERLINK(INDEX('Agenda 2026'!J$2:J$376,MATCH(ROWS($A$7:$A227),'Agenda 2026'!$N$2:$N$376,0)),"Ver fuente ↗"),"")</f>
        <v/>
      </c>
      <c r="L227" s="49" t="str">
        <f t="array" ref="L227">IFERROR(INDEX('Agenda 2026'!K$2:K$376,MATCH(ROWS($A$7:$A227),'Agenda 2026'!$N$2:$N$376,0)),"")</f>
        <v/>
      </c>
      <c r="M227" s="50" t="str">
        <f t="array" ref="M227">IFERROR(INDEX('Agenda 2026'!O$2:O$376,MATCH(ROWS($A$7:$A227),'Agenda 2026'!$N$2:$N$376,0)),"")</f>
        <v/>
      </c>
    </row>
    <row r="228" spans="1:13" ht="42" customHeight="1" x14ac:dyDescent="0.35">
      <c r="A228" s="42" t="str">
        <f t="array" ref="A228">IFERROR(INDEX('Agenda 2026'!A$2:A$376,MATCH(ROWS($A$7:$A228),'Agenda 2026'!$N$2:$N$376,0)),"")</f>
        <v/>
      </c>
      <c r="B228" s="43" t="str">
        <f t="array" ref="B228">IFERROR(INDEX('Agenda 2026'!P$2:P$376,MATCH(ROWS($A$7:$A228),'Agenda 2026'!$N$2:$N$376,0)),"")</f>
        <v/>
      </c>
      <c r="C228" s="44" t="str">
        <f t="array" ref="C228">IFERROR(INDEX('Agenda 2026'!B$2:B$376,MATCH(ROWS($A$7:$A228),'Agenda 2026'!$N$2:$N$376,0)),"")</f>
        <v/>
      </c>
      <c r="D228" s="44" t="str">
        <f t="array" ref="D228">IFERROR(INDEX('Agenda 2026'!C$2:C$376,MATCH(ROWS($A$7:$A228),'Agenda 2026'!$N$2:$N$376,0)),"")</f>
        <v/>
      </c>
      <c r="E228" s="44" t="str">
        <f t="array" ref="E228">IFERROR(INDEX('Agenda 2026'!D$2:D$376,MATCH(ROWS($A$7:$A228),'Agenda 2026'!$N$2:$N$376,0)),"")</f>
        <v/>
      </c>
      <c r="F228" s="45" t="str">
        <f t="array" ref="F228">IFERROR(INDEX('Agenda 2026'!E$2:E$376,MATCH(ROWS($A$7:$A228),'Agenda 2026'!$N$2:$N$376,0)),"")</f>
        <v/>
      </c>
      <c r="G228" s="44" t="str">
        <f t="array" ref="G228">IFERROR(INDEX('Agenda 2026'!F$2:F$376,MATCH(ROWS($A$7:$A228),'Agenda 2026'!$N$2:$N$376,0)),"")</f>
        <v/>
      </c>
      <c r="H228" s="44" t="str">
        <f t="array" ref="H228">IFERROR(INDEX('Agenda 2026'!G$2:G$376,MATCH(ROWS($A$7:$A228),'Agenda 2026'!$N$2:$N$376,0)),"")</f>
        <v/>
      </c>
      <c r="I228" s="46" t="str">
        <f t="array" ref="I228">IFERROR(INDEX('Agenda 2026'!H$2:H$376,MATCH(ROWS($A$7:$A228),'Agenda 2026'!$N$2:$N$376,0)),"")</f>
        <v/>
      </c>
      <c r="J228" s="47"/>
      <c r="K228" s="48" t="str">
        <f t="array" ref="K228">IFERROR(HYPERLINK(INDEX('Agenda 2026'!J$2:J$376,MATCH(ROWS($A$7:$A228),'Agenda 2026'!$N$2:$N$376,0)),"Ver fuente ↗"),"")</f>
        <v/>
      </c>
      <c r="L228" s="49" t="str">
        <f t="array" ref="L228">IFERROR(INDEX('Agenda 2026'!K$2:K$376,MATCH(ROWS($A$7:$A228),'Agenda 2026'!$N$2:$N$376,0)),"")</f>
        <v/>
      </c>
      <c r="M228" s="50" t="str">
        <f t="array" ref="M228">IFERROR(INDEX('Agenda 2026'!O$2:O$376,MATCH(ROWS($A$7:$A228),'Agenda 2026'!$N$2:$N$376,0)),"")</f>
        <v/>
      </c>
    </row>
    <row r="229" spans="1:13" ht="42" customHeight="1" x14ac:dyDescent="0.35">
      <c r="A229" s="42" t="str">
        <f t="array" ref="A229">IFERROR(INDEX('Agenda 2026'!A$2:A$376,MATCH(ROWS($A$7:$A229),'Agenda 2026'!$N$2:$N$376,0)),"")</f>
        <v/>
      </c>
      <c r="B229" s="43" t="str">
        <f t="array" ref="B229">IFERROR(INDEX('Agenda 2026'!P$2:P$376,MATCH(ROWS($A$7:$A229),'Agenda 2026'!$N$2:$N$376,0)),"")</f>
        <v/>
      </c>
      <c r="C229" s="44" t="str">
        <f t="array" ref="C229">IFERROR(INDEX('Agenda 2026'!B$2:B$376,MATCH(ROWS($A$7:$A229),'Agenda 2026'!$N$2:$N$376,0)),"")</f>
        <v/>
      </c>
      <c r="D229" s="44" t="str">
        <f t="array" ref="D229">IFERROR(INDEX('Agenda 2026'!C$2:C$376,MATCH(ROWS($A$7:$A229),'Agenda 2026'!$N$2:$N$376,0)),"")</f>
        <v/>
      </c>
      <c r="E229" s="44" t="str">
        <f t="array" ref="E229">IFERROR(INDEX('Agenda 2026'!D$2:D$376,MATCH(ROWS($A$7:$A229),'Agenda 2026'!$N$2:$N$376,0)),"")</f>
        <v/>
      </c>
      <c r="F229" s="45" t="str">
        <f t="array" ref="F229">IFERROR(INDEX('Agenda 2026'!E$2:E$376,MATCH(ROWS($A$7:$A229),'Agenda 2026'!$N$2:$N$376,0)),"")</f>
        <v/>
      </c>
      <c r="G229" s="44" t="str">
        <f t="array" ref="G229">IFERROR(INDEX('Agenda 2026'!F$2:F$376,MATCH(ROWS($A$7:$A229),'Agenda 2026'!$N$2:$N$376,0)),"")</f>
        <v/>
      </c>
      <c r="H229" s="44" t="str">
        <f t="array" ref="H229">IFERROR(INDEX('Agenda 2026'!G$2:G$376,MATCH(ROWS($A$7:$A229),'Agenda 2026'!$N$2:$N$376,0)),"")</f>
        <v/>
      </c>
      <c r="I229" s="46" t="str">
        <f t="array" ref="I229">IFERROR(INDEX('Agenda 2026'!H$2:H$376,MATCH(ROWS($A$7:$A229),'Agenda 2026'!$N$2:$N$376,0)),"")</f>
        <v/>
      </c>
      <c r="J229" s="47"/>
      <c r="K229" s="48" t="str">
        <f t="array" ref="K229">IFERROR(HYPERLINK(INDEX('Agenda 2026'!J$2:J$376,MATCH(ROWS($A$7:$A229),'Agenda 2026'!$N$2:$N$376,0)),"Ver fuente ↗"),"")</f>
        <v/>
      </c>
      <c r="L229" s="49" t="str">
        <f t="array" ref="L229">IFERROR(INDEX('Agenda 2026'!K$2:K$376,MATCH(ROWS($A$7:$A229),'Agenda 2026'!$N$2:$N$376,0)),"")</f>
        <v/>
      </c>
      <c r="M229" s="50" t="str">
        <f t="array" ref="M229">IFERROR(INDEX('Agenda 2026'!O$2:O$376,MATCH(ROWS($A$7:$A229),'Agenda 2026'!$N$2:$N$376,0)),"")</f>
        <v/>
      </c>
    </row>
    <row r="230" spans="1:13" ht="42" customHeight="1" x14ac:dyDescent="0.35">
      <c r="A230" s="42" t="str">
        <f t="array" ref="A230">IFERROR(INDEX('Agenda 2026'!A$2:A$376,MATCH(ROWS($A$7:$A230),'Agenda 2026'!$N$2:$N$376,0)),"")</f>
        <v/>
      </c>
      <c r="B230" s="43" t="str">
        <f t="array" ref="B230">IFERROR(INDEX('Agenda 2026'!P$2:P$376,MATCH(ROWS($A$7:$A230),'Agenda 2026'!$N$2:$N$376,0)),"")</f>
        <v/>
      </c>
      <c r="C230" s="44" t="str">
        <f t="array" ref="C230">IFERROR(INDEX('Agenda 2026'!B$2:B$376,MATCH(ROWS($A$7:$A230),'Agenda 2026'!$N$2:$N$376,0)),"")</f>
        <v/>
      </c>
      <c r="D230" s="44" t="str">
        <f t="array" ref="D230">IFERROR(INDEX('Agenda 2026'!C$2:C$376,MATCH(ROWS($A$7:$A230),'Agenda 2026'!$N$2:$N$376,0)),"")</f>
        <v/>
      </c>
      <c r="E230" s="44" t="str">
        <f t="array" ref="E230">IFERROR(INDEX('Agenda 2026'!D$2:D$376,MATCH(ROWS($A$7:$A230),'Agenda 2026'!$N$2:$N$376,0)),"")</f>
        <v/>
      </c>
      <c r="F230" s="45" t="str">
        <f t="array" ref="F230">IFERROR(INDEX('Agenda 2026'!E$2:E$376,MATCH(ROWS($A$7:$A230),'Agenda 2026'!$N$2:$N$376,0)),"")</f>
        <v/>
      </c>
      <c r="G230" s="44" t="str">
        <f t="array" ref="G230">IFERROR(INDEX('Agenda 2026'!F$2:F$376,MATCH(ROWS($A$7:$A230),'Agenda 2026'!$N$2:$N$376,0)),"")</f>
        <v/>
      </c>
      <c r="H230" s="44" t="str">
        <f t="array" ref="H230">IFERROR(INDEX('Agenda 2026'!G$2:G$376,MATCH(ROWS($A$7:$A230),'Agenda 2026'!$N$2:$N$376,0)),"")</f>
        <v/>
      </c>
      <c r="I230" s="46" t="str">
        <f t="array" ref="I230">IFERROR(INDEX('Agenda 2026'!H$2:H$376,MATCH(ROWS($A$7:$A230),'Agenda 2026'!$N$2:$N$376,0)),"")</f>
        <v/>
      </c>
      <c r="J230" s="47"/>
      <c r="K230" s="48" t="str">
        <f t="array" ref="K230">IFERROR(HYPERLINK(INDEX('Agenda 2026'!J$2:J$376,MATCH(ROWS($A$7:$A230),'Agenda 2026'!$N$2:$N$376,0)),"Ver fuente ↗"),"")</f>
        <v/>
      </c>
      <c r="L230" s="49" t="str">
        <f t="array" ref="L230">IFERROR(INDEX('Agenda 2026'!K$2:K$376,MATCH(ROWS($A$7:$A230),'Agenda 2026'!$N$2:$N$376,0)),"")</f>
        <v/>
      </c>
      <c r="M230" s="50" t="str">
        <f t="array" ref="M230">IFERROR(INDEX('Agenda 2026'!O$2:O$376,MATCH(ROWS($A$7:$A230),'Agenda 2026'!$N$2:$N$376,0)),"")</f>
        <v/>
      </c>
    </row>
    <row r="231" spans="1:13" ht="42" customHeight="1" x14ac:dyDescent="0.35">
      <c r="A231" s="42" t="str">
        <f t="array" ref="A231">IFERROR(INDEX('Agenda 2026'!A$2:A$376,MATCH(ROWS($A$7:$A231),'Agenda 2026'!$N$2:$N$376,0)),"")</f>
        <v/>
      </c>
      <c r="B231" s="43" t="str">
        <f t="array" ref="B231">IFERROR(INDEX('Agenda 2026'!P$2:P$376,MATCH(ROWS($A$7:$A231),'Agenda 2026'!$N$2:$N$376,0)),"")</f>
        <v/>
      </c>
      <c r="C231" s="44" t="str">
        <f t="array" ref="C231">IFERROR(INDEX('Agenda 2026'!B$2:B$376,MATCH(ROWS($A$7:$A231),'Agenda 2026'!$N$2:$N$376,0)),"")</f>
        <v/>
      </c>
      <c r="D231" s="44" t="str">
        <f t="array" ref="D231">IFERROR(INDEX('Agenda 2026'!C$2:C$376,MATCH(ROWS($A$7:$A231),'Agenda 2026'!$N$2:$N$376,0)),"")</f>
        <v/>
      </c>
      <c r="E231" s="44" t="str">
        <f t="array" ref="E231">IFERROR(INDEX('Agenda 2026'!D$2:D$376,MATCH(ROWS($A$7:$A231),'Agenda 2026'!$N$2:$N$376,0)),"")</f>
        <v/>
      </c>
      <c r="F231" s="45" t="str">
        <f t="array" ref="F231">IFERROR(INDEX('Agenda 2026'!E$2:E$376,MATCH(ROWS($A$7:$A231),'Agenda 2026'!$N$2:$N$376,0)),"")</f>
        <v/>
      </c>
      <c r="G231" s="44" t="str">
        <f t="array" ref="G231">IFERROR(INDEX('Agenda 2026'!F$2:F$376,MATCH(ROWS($A$7:$A231),'Agenda 2026'!$N$2:$N$376,0)),"")</f>
        <v/>
      </c>
      <c r="H231" s="44" t="str">
        <f t="array" ref="H231">IFERROR(INDEX('Agenda 2026'!G$2:G$376,MATCH(ROWS($A$7:$A231),'Agenda 2026'!$N$2:$N$376,0)),"")</f>
        <v/>
      </c>
      <c r="I231" s="46" t="str">
        <f t="array" ref="I231">IFERROR(INDEX('Agenda 2026'!H$2:H$376,MATCH(ROWS($A$7:$A231),'Agenda 2026'!$N$2:$N$376,0)),"")</f>
        <v/>
      </c>
      <c r="J231" s="47"/>
      <c r="K231" s="48" t="str">
        <f t="array" ref="K231">IFERROR(HYPERLINK(INDEX('Agenda 2026'!J$2:J$376,MATCH(ROWS($A$7:$A231),'Agenda 2026'!$N$2:$N$376,0)),"Ver fuente ↗"),"")</f>
        <v/>
      </c>
      <c r="L231" s="49" t="str">
        <f t="array" ref="L231">IFERROR(INDEX('Agenda 2026'!K$2:K$376,MATCH(ROWS($A$7:$A231),'Agenda 2026'!$N$2:$N$376,0)),"")</f>
        <v/>
      </c>
      <c r="M231" s="50" t="str">
        <f t="array" ref="M231">IFERROR(INDEX('Agenda 2026'!O$2:O$376,MATCH(ROWS($A$7:$A231),'Agenda 2026'!$N$2:$N$376,0)),"")</f>
        <v/>
      </c>
    </row>
    <row r="232" spans="1:13" ht="42" customHeight="1" x14ac:dyDescent="0.35">
      <c r="A232" s="42" t="str">
        <f t="array" ref="A232">IFERROR(INDEX('Agenda 2026'!A$2:A$376,MATCH(ROWS($A$7:$A232),'Agenda 2026'!$N$2:$N$376,0)),"")</f>
        <v/>
      </c>
      <c r="B232" s="43" t="str">
        <f t="array" ref="B232">IFERROR(INDEX('Agenda 2026'!P$2:P$376,MATCH(ROWS($A$7:$A232),'Agenda 2026'!$N$2:$N$376,0)),"")</f>
        <v/>
      </c>
      <c r="C232" s="44" t="str">
        <f t="array" ref="C232">IFERROR(INDEX('Agenda 2026'!B$2:B$376,MATCH(ROWS($A$7:$A232),'Agenda 2026'!$N$2:$N$376,0)),"")</f>
        <v/>
      </c>
      <c r="D232" s="44" t="str">
        <f t="array" ref="D232">IFERROR(INDEX('Agenda 2026'!C$2:C$376,MATCH(ROWS($A$7:$A232),'Agenda 2026'!$N$2:$N$376,0)),"")</f>
        <v/>
      </c>
      <c r="E232" s="44" t="str">
        <f t="array" ref="E232">IFERROR(INDEX('Agenda 2026'!D$2:D$376,MATCH(ROWS($A$7:$A232),'Agenda 2026'!$N$2:$N$376,0)),"")</f>
        <v/>
      </c>
      <c r="F232" s="45" t="str">
        <f t="array" ref="F232">IFERROR(INDEX('Agenda 2026'!E$2:E$376,MATCH(ROWS($A$7:$A232),'Agenda 2026'!$N$2:$N$376,0)),"")</f>
        <v/>
      </c>
      <c r="G232" s="44" t="str">
        <f t="array" ref="G232">IFERROR(INDEX('Agenda 2026'!F$2:F$376,MATCH(ROWS($A$7:$A232),'Agenda 2026'!$N$2:$N$376,0)),"")</f>
        <v/>
      </c>
      <c r="H232" s="44" t="str">
        <f t="array" ref="H232">IFERROR(INDEX('Agenda 2026'!G$2:G$376,MATCH(ROWS($A$7:$A232),'Agenda 2026'!$N$2:$N$376,0)),"")</f>
        <v/>
      </c>
      <c r="I232" s="46" t="str">
        <f t="array" ref="I232">IFERROR(INDEX('Agenda 2026'!H$2:H$376,MATCH(ROWS($A$7:$A232),'Agenda 2026'!$N$2:$N$376,0)),"")</f>
        <v/>
      </c>
      <c r="J232" s="47"/>
      <c r="K232" s="48" t="str">
        <f t="array" ref="K232">IFERROR(HYPERLINK(INDEX('Agenda 2026'!J$2:J$376,MATCH(ROWS($A$7:$A232),'Agenda 2026'!$N$2:$N$376,0)),"Ver fuente ↗"),"")</f>
        <v/>
      </c>
      <c r="L232" s="49" t="str">
        <f t="array" ref="L232">IFERROR(INDEX('Agenda 2026'!K$2:K$376,MATCH(ROWS($A$7:$A232),'Agenda 2026'!$N$2:$N$376,0)),"")</f>
        <v/>
      </c>
      <c r="M232" s="50" t="str">
        <f t="array" ref="M232">IFERROR(INDEX('Agenda 2026'!O$2:O$376,MATCH(ROWS($A$7:$A232),'Agenda 2026'!$N$2:$N$376,0)),"")</f>
        <v/>
      </c>
    </row>
    <row r="233" spans="1:13" ht="42" customHeight="1" x14ac:dyDescent="0.35">
      <c r="A233" s="42" t="str">
        <f t="array" ref="A233">IFERROR(INDEX('Agenda 2026'!A$2:A$376,MATCH(ROWS($A$7:$A233),'Agenda 2026'!$N$2:$N$376,0)),"")</f>
        <v/>
      </c>
      <c r="B233" s="43" t="str">
        <f t="array" ref="B233">IFERROR(INDEX('Agenda 2026'!P$2:P$376,MATCH(ROWS($A$7:$A233),'Agenda 2026'!$N$2:$N$376,0)),"")</f>
        <v/>
      </c>
      <c r="C233" s="44" t="str">
        <f t="array" ref="C233">IFERROR(INDEX('Agenda 2026'!B$2:B$376,MATCH(ROWS($A$7:$A233),'Agenda 2026'!$N$2:$N$376,0)),"")</f>
        <v/>
      </c>
      <c r="D233" s="44" t="str">
        <f t="array" ref="D233">IFERROR(INDEX('Agenda 2026'!C$2:C$376,MATCH(ROWS($A$7:$A233),'Agenda 2026'!$N$2:$N$376,0)),"")</f>
        <v/>
      </c>
      <c r="E233" s="44" t="str">
        <f t="array" ref="E233">IFERROR(INDEX('Agenda 2026'!D$2:D$376,MATCH(ROWS($A$7:$A233),'Agenda 2026'!$N$2:$N$376,0)),"")</f>
        <v/>
      </c>
      <c r="F233" s="45" t="str">
        <f t="array" ref="F233">IFERROR(INDEX('Agenda 2026'!E$2:E$376,MATCH(ROWS($A$7:$A233),'Agenda 2026'!$N$2:$N$376,0)),"")</f>
        <v/>
      </c>
      <c r="G233" s="44" t="str">
        <f t="array" ref="G233">IFERROR(INDEX('Agenda 2026'!F$2:F$376,MATCH(ROWS($A$7:$A233),'Agenda 2026'!$N$2:$N$376,0)),"")</f>
        <v/>
      </c>
      <c r="H233" s="44" t="str">
        <f t="array" ref="H233">IFERROR(INDEX('Agenda 2026'!G$2:G$376,MATCH(ROWS($A$7:$A233),'Agenda 2026'!$N$2:$N$376,0)),"")</f>
        <v/>
      </c>
      <c r="I233" s="46" t="str">
        <f t="array" ref="I233">IFERROR(INDEX('Agenda 2026'!H$2:H$376,MATCH(ROWS($A$7:$A233),'Agenda 2026'!$N$2:$N$376,0)),"")</f>
        <v/>
      </c>
      <c r="J233" s="47"/>
      <c r="K233" s="48" t="str">
        <f t="array" ref="K233">IFERROR(HYPERLINK(INDEX('Agenda 2026'!J$2:J$376,MATCH(ROWS($A$7:$A233),'Agenda 2026'!$N$2:$N$376,0)),"Ver fuente ↗"),"")</f>
        <v/>
      </c>
      <c r="L233" s="49" t="str">
        <f t="array" ref="L233">IFERROR(INDEX('Agenda 2026'!K$2:K$376,MATCH(ROWS($A$7:$A233),'Agenda 2026'!$N$2:$N$376,0)),"")</f>
        <v/>
      </c>
      <c r="M233" s="50" t="str">
        <f t="array" ref="M233">IFERROR(INDEX('Agenda 2026'!O$2:O$376,MATCH(ROWS($A$7:$A233),'Agenda 2026'!$N$2:$N$376,0)),"")</f>
        <v/>
      </c>
    </row>
    <row r="234" spans="1:13" ht="42" customHeight="1" x14ac:dyDescent="0.35">
      <c r="A234" s="42" t="str">
        <f t="array" ref="A234">IFERROR(INDEX('Agenda 2026'!A$2:A$376,MATCH(ROWS($A$7:$A234),'Agenda 2026'!$N$2:$N$376,0)),"")</f>
        <v/>
      </c>
      <c r="B234" s="43" t="str">
        <f t="array" ref="B234">IFERROR(INDEX('Agenda 2026'!P$2:P$376,MATCH(ROWS($A$7:$A234),'Agenda 2026'!$N$2:$N$376,0)),"")</f>
        <v/>
      </c>
      <c r="C234" s="44" t="str">
        <f t="array" ref="C234">IFERROR(INDEX('Agenda 2026'!B$2:B$376,MATCH(ROWS($A$7:$A234),'Agenda 2026'!$N$2:$N$376,0)),"")</f>
        <v/>
      </c>
      <c r="D234" s="44" t="str">
        <f t="array" ref="D234">IFERROR(INDEX('Agenda 2026'!C$2:C$376,MATCH(ROWS($A$7:$A234),'Agenda 2026'!$N$2:$N$376,0)),"")</f>
        <v/>
      </c>
      <c r="E234" s="44" t="str">
        <f t="array" ref="E234">IFERROR(INDEX('Agenda 2026'!D$2:D$376,MATCH(ROWS($A$7:$A234),'Agenda 2026'!$N$2:$N$376,0)),"")</f>
        <v/>
      </c>
      <c r="F234" s="45" t="str">
        <f t="array" ref="F234">IFERROR(INDEX('Agenda 2026'!E$2:E$376,MATCH(ROWS($A$7:$A234),'Agenda 2026'!$N$2:$N$376,0)),"")</f>
        <v/>
      </c>
      <c r="G234" s="44" t="str">
        <f t="array" ref="G234">IFERROR(INDEX('Agenda 2026'!F$2:F$376,MATCH(ROWS($A$7:$A234),'Agenda 2026'!$N$2:$N$376,0)),"")</f>
        <v/>
      </c>
      <c r="H234" s="44" t="str">
        <f t="array" ref="H234">IFERROR(INDEX('Agenda 2026'!G$2:G$376,MATCH(ROWS($A$7:$A234),'Agenda 2026'!$N$2:$N$376,0)),"")</f>
        <v/>
      </c>
      <c r="I234" s="46" t="str">
        <f t="array" ref="I234">IFERROR(INDEX('Agenda 2026'!H$2:H$376,MATCH(ROWS($A$7:$A234),'Agenda 2026'!$N$2:$N$376,0)),"")</f>
        <v/>
      </c>
      <c r="J234" s="47"/>
      <c r="K234" s="48" t="str">
        <f t="array" ref="K234">IFERROR(HYPERLINK(INDEX('Agenda 2026'!J$2:J$376,MATCH(ROWS($A$7:$A234),'Agenda 2026'!$N$2:$N$376,0)),"Ver fuente ↗"),"")</f>
        <v/>
      </c>
      <c r="L234" s="49" t="str">
        <f t="array" ref="L234">IFERROR(INDEX('Agenda 2026'!K$2:K$376,MATCH(ROWS($A$7:$A234),'Agenda 2026'!$N$2:$N$376,0)),"")</f>
        <v/>
      </c>
      <c r="M234" s="50" t="str">
        <f t="array" ref="M234">IFERROR(INDEX('Agenda 2026'!O$2:O$376,MATCH(ROWS($A$7:$A234),'Agenda 2026'!$N$2:$N$376,0)),"")</f>
        <v/>
      </c>
    </row>
    <row r="235" spans="1:13" ht="42" customHeight="1" x14ac:dyDescent="0.35">
      <c r="A235" s="42" t="str">
        <f t="array" ref="A235">IFERROR(INDEX('Agenda 2026'!A$2:A$376,MATCH(ROWS($A$7:$A235),'Agenda 2026'!$N$2:$N$376,0)),"")</f>
        <v/>
      </c>
      <c r="B235" s="43" t="str">
        <f t="array" ref="B235">IFERROR(INDEX('Agenda 2026'!P$2:P$376,MATCH(ROWS($A$7:$A235),'Agenda 2026'!$N$2:$N$376,0)),"")</f>
        <v/>
      </c>
      <c r="C235" s="44" t="str">
        <f t="array" ref="C235">IFERROR(INDEX('Agenda 2026'!B$2:B$376,MATCH(ROWS($A$7:$A235),'Agenda 2026'!$N$2:$N$376,0)),"")</f>
        <v/>
      </c>
      <c r="D235" s="44" t="str">
        <f t="array" ref="D235">IFERROR(INDEX('Agenda 2026'!C$2:C$376,MATCH(ROWS($A$7:$A235),'Agenda 2026'!$N$2:$N$376,0)),"")</f>
        <v/>
      </c>
      <c r="E235" s="44" t="str">
        <f t="array" ref="E235">IFERROR(INDEX('Agenda 2026'!D$2:D$376,MATCH(ROWS($A$7:$A235),'Agenda 2026'!$N$2:$N$376,0)),"")</f>
        <v/>
      </c>
      <c r="F235" s="45" t="str">
        <f t="array" ref="F235">IFERROR(INDEX('Agenda 2026'!E$2:E$376,MATCH(ROWS($A$7:$A235),'Agenda 2026'!$N$2:$N$376,0)),"")</f>
        <v/>
      </c>
      <c r="G235" s="44" t="str">
        <f t="array" ref="G235">IFERROR(INDEX('Agenda 2026'!F$2:F$376,MATCH(ROWS($A$7:$A235),'Agenda 2026'!$N$2:$N$376,0)),"")</f>
        <v/>
      </c>
      <c r="H235" s="44" t="str">
        <f t="array" ref="H235">IFERROR(INDEX('Agenda 2026'!G$2:G$376,MATCH(ROWS($A$7:$A235),'Agenda 2026'!$N$2:$N$376,0)),"")</f>
        <v/>
      </c>
      <c r="I235" s="46" t="str">
        <f t="array" ref="I235">IFERROR(INDEX('Agenda 2026'!H$2:H$376,MATCH(ROWS($A$7:$A235),'Agenda 2026'!$N$2:$N$376,0)),"")</f>
        <v/>
      </c>
      <c r="J235" s="47"/>
      <c r="K235" s="48" t="str">
        <f t="array" ref="K235">IFERROR(HYPERLINK(INDEX('Agenda 2026'!J$2:J$376,MATCH(ROWS($A$7:$A235),'Agenda 2026'!$N$2:$N$376,0)),"Ver fuente ↗"),"")</f>
        <v/>
      </c>
      <c r="L235" s="49" t="str">
        <f t="array" ref="L235">IFERROR(INDEX('Agenda 2026'!K$2:K$376,MATCH(ROWS($A$7:$A235),'Agenda 2026'!$N$2:$N$376,0)),"")</f>
        <v/>
      </c>
      <c r="M235" s="50" t="str">
        <f t="array" ref="M235">IFERROR(INDEX('Agenda 2026'!O$2:O$376,MATCH(ROWS($A$7:$A235),'Agenda 2026'!$N$2:$N$376,0)),"")</f>
        <v/>
      </c>
    </row>
    <row r="236" spans="1:13" ht="42" customHeight="1" x14ac:dyDescent="0.35">
      <c r="A236" s="42" t="str">
        <f t="array" ref="A236">IFERROR(INDEX('Agenda 2026'!A$2:A$376,MATCH(ROWS($A$7:$A236),'Agenda 2026'!$N$2:$N$376,0)),"")</f>
        <v/>
      </c>
      <c r="B236" s="43" t="str">
        <f t="array" ref="B236">IFERROR(INDEX('Agenda 2026'!P$2:P$376,MATCH(ROWS($A$7:$A236),'Agenda 2026'!$N$2:$N$376,0)),"")</f>
        <v/>
      </c>
      <c r="C236" s="44" t="str">
        <f t="array" ref="C236">IFERROR(INDEX('Agenda 2026'!B$2:B$376,MATCH(ROWS($A$7:$A236),'Agenda 2026'!$N$2:$N$376,0)),"")</f>
        <v/>
      </c>
      <c r="D236" s="44" t="str">
        <f t="array" ref="D236">IFERROR(INDEX('Agenda 2026'!C$2:C$376,MATCH(ROWS($A$7:$A236),'Agenda 2026'!$N$2:$N$376,0)),"")</f>
        <v/>
      </c>
      <c r="E236" s="44" t="str">
        <f t="array" ref="E236">IFERROR(INDEX('Agenda 2026'!D$2:D$376,MATCH(ROWS($A$7:$A236),'Agenda 2026'!$N$2:$N$376,0)),"")</f>
        <v/>
      </c>
      <c r="F236" s="45" t="str">
        <f t="array" ref="F236">IFERROR(INDEX('Agenda 2026'!E$2:E$376,MATCH(ROWS($A$7:$A236),'Agenda 2026'!$N$2:$N$376,0)),"")</f>
        <v/>
      </c>
      <c r="G236" s="44" t="str">
        <f t="array" ref="G236">IFERROR(INDEX('Agenda 2026'!F$2:F$376,MATCH(ROWS($A$7:$A236),'Agenda 2026'!$N$2:$N$376,0)),"")</f>
        <v/>
      </c>
      <c r="H236" s="44" t="str">
        <f t="array" ref="H236">IFERROR(INDEX('Agenda 2026'!G$2:G$376,MATCH(ROWS($A$7:$A236),'Agenda 2026'!$N$2:$N$376,0)),"")</f>
        <v/>
      </c>
      <c r="I236" s="46" t="str">
        <f t="array" ref="I236">IFERROR(INDEX('Agenda 2026'!H$2:H$376,MATCH(ROWS($A$7:$A236),'Agenda 2026'!$N$2:$N$376,0)),"")</f>
        <v/>
      </c>
      <c r="J236" s="47"/>
      <c r="K236" s="48" t="str">
        <f t="array" ref="K236">IFERROR(HYPERLINK(INDEX('Agenda 2026'!J$2:J$376,MATCH(ROWS($A$7:$A236),'Agenda 2026'!$N$2:$N$376,0)),"Ver fuente ↗"),"")</f>
        <v/>
      </c>
      <c r="L236" s="49" t="str">
        <f t="array" ref="L236">IFERROR(INDEX('Agenda 2026'!K$2:K$376,MATCH(ROWS($A$7:$A236),'Agenda 2026'!$N$2:$N$376,0)),"")</f>
        <v/>
      </c>
      <c r="M236" s="50" t="str">
        <f t="array" ref="M236">IFERROR(INDEX('Agenda 2026'!O$2:O$376,MATCH(ROWS($A$7:$A236),'Agenda 2026'!$N$2:$N$376,0)),"")</f>
        <v/>
      </c>
    </row>
    <row r="237" spans="1:13" ht="42" customHeight="1" x14ac:dyDescent="0.35">
      <c r="A237" s="42" t="str">
        <f t="array" ref="A237">IFERROR(INDEX('Agenda 2026'!A$2:A$376,MATCH(ROWS($A$7:$A237),'Agenda 2026'!$N$2:$N$376,0)),"")</f>
        <v/>
      </c>
      <c r="B237" s="43" t="str">
        <f t="array" ref="B237">IFERROR(INDEX('Agenda 2026'!P$2:P$376,MATCH(ROWS($A$7:$A237),'Agenda 2026'!$N$2:$N$376,0)),"")</f>
        <v/>
      </c>
      <c r="C237" s="44" t="str">
        <f t="array" ref="C237">IFERROR(INDEX('Agenda 2026'!B$2:B$376,MATCH(ROWS($A$7:$A237),'Agenda 2026'!$N$2:$N$376,0)),"")</f>
        <v/>
      </c>
      <c r="D237" s="44" t="str">
        <f t="array" ref="D237">IFERROR(INDEX('Agenda 2026'!C$2:C$376,MATCH(ROWS($A$7:$A237),'Agenda 2026'!$N$2:$N$376,0)),"")</f>
        <v/>
      </c>
      <c r="E237" s="44" t="str">
        <f t="array" ref="E237">IFERROR(INDEX('Agenda 2026'!D$2:D$376,MATCH(ROWS($A$7:$A237),'Agenda 2026'!$N$2:$N$376,0)),"")</f>
        <v/>
      </c>
      <c r="F237" s="45" t="str">
        <f t="array" ref="F237">IFERROR(INDEX('Agenda 2026'!E$2:E$376,MATCH(ROWS($A$7:$A237),'Agenda 2026'!$N$2:$N$376,0)),"")</f>
        <v/>
      </c>
      <c r="G237" s="44" t="str">
        <f t="array" ref="G237">IFERROR(INDEX('Agenda 2026'!F$2:F$376,MATCH(ROWS($A$7:$A237),'Agenda 2026'!$N$2:$N$376,0)),"")</f>
        <v/>
      </c>
      <c r="H237" s="44" t="str">
        <f t="array" ref="H237">IFERROR(INDEX('Agenda 2026'!G$2:G$376,MATCH(ROWS($A$7:$A237),'Agenda 2026'!$N$2:$N$376,0)),"")</f>
        <v/>
      </c>
      <c r="I237" s="46" t="str">
        <f t="array" ref="I237">IFERROR(INDEX('Agenda 2026'!H$2:H$376,MATCH(ROWS($A$7:$A237),'Agenda 2026'!$N$2:$N$376,0)),"")</f>
        <v/>
      </c>
      <c r="J237" s="47"/>
      <c r="K237" s="48" t="str">
        <f t="array" ref="K237">IFERROR(HYPERLINK(INDEX('Agenda 2026'!J$2:J$376,MATCH(ROWS($A$7:$A237),'Agenda 2026'!$N$2:$N$376,0)),"Ver fuente ↗"),"")</f>
        <v/>
      </c>
      <c r="L237" s="49" t="str">
        <f t="array" ref="L237">IFERROR(INDEX('Agenda 2026'!K$2:K$376,MATCH(ROWS($A$7:$A237),'Agenda 2026'!$N$2:$N$376,0)),"")</f>
        <v/>
      </c>
      <c r="M237" s="50" t="str">
        <f t="array" ref="M237">IFERROR(INDEX('Agenda 2026'!O$2:O$376,MATCH(ROWS($A$7:$A237),'Agenda 2026'!$N$2:$N$376,0)),"")</f>
        <v/>
      </c>
    </row>
    <row r="238" spans="1:13" ht="42" customHeight="1" x14ac:dyDescent="0.35">
      <c r="A238" s="42" t="str">
        <f t="array" ref="A238">IFERROR(INDEX('Agenda 2026'!A$2:A$376,MATCH(ROWS($A$7:$A238),'Agenda 2026'!$N$2:$N$376,0)),"")</f>
        <v/>
      </c>
      <c r="B238" s="43" t="str">
        <f t="array" ref="B238">IFERROR(INDEX('Agenda 2026'!P$2:P$376,MATCH(ROWS($A$7:$A238),'Agenda 2026'!$N$2:$N$376,0)),"")</f>
        <v/>
      </c>
      <c r="C238" s="44" t="str">
        <f t="array" ref="C238">IFERROR(INDEX('Agenda 2026'!B$2:B$376,MATCH(ROWS($A$7:$A238),'Agenda 2026'!$N$2:$N$376,0)),"")</f>
        <v/>
      </c>
      <c r="D238" s="44" t="str">
        <f t="array" ref="D238">IFERROR(INDEX('Agenda 2026'!C$2:C$376,MATCH(ROWS($A$7:$A238),'Agenda 2026'!$N$2:$N$376,0)),"")</f>
        <v/>
      </c>
      <c r="E238" s="44" t="str">
        <f t="array" ref="E238">IFERROR(INDEX('Agenda 2026'!D$2:D$376,MATCH(ROWS($A$7:$A238),'Agenda 2026'!$N$2:$N$376,0)),"")</f>
        <v/>
      </c>
      <c r="F238" s="45" t="str">
        <f t="array" ref="F238">IFERROR(INDEX('Agenda 2026'!E$2:E$376,MATCH(ROWS($A$7:$A238),'Agenda 2026'!$N$2:$N$376,0)),"")</f>
        <v/>
      </c>
      <c r="G238" s="44" t="str">
        <f t="array" ref="G238">IFERROR(INDEX('Agenda 2026'!F$2:F$376,MATCH(ROWS($A$7:$A238),'Agenda 2026'!$N$2:$N$376,0)),"")</f>
        <v/>
      </c>
      <c r="H238" s="44" t="str">
        <f t="array" ref="H238">IFERROR(INDEX('Agenda 2026'!G$2:G$376,MATCH(ROWS($A$7:$A238),'Agenda 2026'!$N$2:$N$376,0)),"")</f>
        <v/>
      </c>
      <c r="I238" s="46" t="str">
        <f t="array" ref="I238">IFERROR(INDEX('Agenda 2026'!H$2:H$376,MATCH(ROWS($A$7:$A238),'Agenda 2026'!$N$2:$N$376,0)),"")</f>
        <v/>
      </c>
      <c r="J238" s="47"/>
      <c r="K238" s="48" t="str">
        <f t="array" ref="K238">IFERROR(HYPERLINK(INDEX('Agenda 2026'!J$2:J$376,MATCH(ROWS($A$7:$A238),'Agenda 2026'!$N$2:$N$376,0)),"Ver fuente ↗"),"")</f>
        <v/>
      </c>
      <c r="L238" s="49" t="str">
        <f t="array" ref="L238">IFERROR(INDEX('Agenda 2026'!K$2:K$376,MATCH(ROWS($A$7:$A238),'Agenda 2026'!$N$2:$N$376,0)),"")</f>
        <v/>
      </c>
      <c r="M238" s="50" t="str">
        <f t="array" ref="M238">IFERROR(INDEX('Agenda 2026'!O$2:O$376,MATCH(ROWS($A$7:$A238),'Agenda 2026'!$N$2:$N$376,0)),"")</f>
        <v/>
      </c>
    </row>
    <row r="239" spans="1:13" ht="42" customHeight="1" x14ac:dyDescent="0.35">
      <c r="A239" s="42" t="str">
        <f t="array" ref="A239">IFERROR(INDEX('Agenda 2026'!A$2:A$376,MATCH(ROWS($A$7:$A239),'Agenda 2026'!$N$2:$N$376,0)),"")</f>
        <v/>
      </c>
      <c r="B239" s="43" t="str">
        <f t="array" ref="B239">IFERROR(INDEX('Agenda 2026'!P$2:P$376,MATCH(ROWS($A$7:$A239),'Agenda 2026'!$N$2:$N$376,0)),"")</f>
        <v/>
      </c>
      <c r="C239" s="44" t="str">
        <f t="array" ref="C239">IFERROR(INDEX('Agenda 2026'!B$2:B$376,MATCH(ROWS($A$7:$A239),'Agenda 2026'!$N$2:$N$376,0)),"")</f>
        <v/>
      </c>
      <c r="D239" s="44" t="str">
        <f t="array" ref="D239">IFERROR(INDEX('Agenda 2026'!C$2:C$376,MATCH(ROWS($A$7:$A239),'Agenda 2026'!$N$2:$N$376,0)),"")</f>
        <v/>
      </c>
      <c r="E239" s="44" t="str">
        <f t="array" ref="E239">IFERROR(INDEX('Agenda 2026'!D$2:D$376,MATCH(ROWS($A$7:$A239),'Agenda 2026'!$N$2:$N$376,0)),"")</f>
        <v/>
      </c>
      <c r="F239" s="45" t="str">
        <f t="array" ref="F239">IFERROR(INDEX('Agenda 2026'!E$2:E$376,MATCH(ROWS($A$7:$A239),'Agenda 2026'!$N$2:$N$376,0)),"")</f>
        <v/>
      </c>
      <c r="G239" s="44" t="str">
        <f t="array" ref="G239">IFERROR(INDEX('Agenda 2026'!F$2:F$376,MATCH(ROWS($A$7:$A239),'Agenda 2026'!$N$2:$N$376,0)),"")</f>
        <v/>
      </c>
      <c r="H239" s="44" t="str">
        <f t="array" ref="H239">IFERROR(INDEX('Agenda 2026'!G$2:G$376,MATCH(ROWS($A$7:$A239),'Agenda 2026'!$N$2:$N$376,0)),"")</f>
        <v/>
      </c>
      <c r="I239" s="46" t="str">
        <f t="array" ref="I239">IFERROR(INDEX('Agenda 2026'!H$2:H$376,MATCH(ROWS($A$7:$A239),'Agenda 2026'!$N$2:$N$376,0)),"")</f>
        <v/>
      </c>
      <c r="J239" s="47"/>
      <c r="K239" s="48" t="str">
        <f t="array" ref="K239">IFERROR(HYPERLINK(INDEX('Agenda 2026'!J$2:J$376,MATCH(ROWS($A$7:$A239),'Agenda 2026'!$N$2:$N$376,0)),"Ver fuente ↗"),"")</f>
        <v/>
      </c>
      <c r="L239" s="49" t="str">
        <f t="array" ref="L239">IFERROR(INDEX('Agenda 2026'!K$2:K$376,MATCH(ROWS($A$7:$A239),'Agenda 2026'!$N$2:$N$376,0)),"")</f>
        <v/>
      </c>
      <c r="M239" s="50" t="str">
        <f t="array" ref="M239">IFERROR(INDEX('Agenda 2026'!O$2:O$376,MATCH(ROWS($A$7:$A239),'Agenda 2026'!$N$2:$N$376,0)),"")</f>
        <v/>
      </c>
    </row>
    <row r="240" spans="1:13" ht="42" customHeight="1" x14ac:dyDescent="0.35">
      <c r="A240" s="42" t="str">
        <f t="array" ref="A240">IFERROR(INDEX('Agenda 2026'!A$2:A$376,MATCH(ROWS($A$7:$A240),'Agenda 2026'!$N$2:$N$376,0)),"")</f>
        <v/>
      </c>
      <c r="B240" s="43" t="str">
        <f t="array" ref="B240">IFERROR(INDEX('Agenda 2026'!P$2:P$376,MATCH(ROWS($A$7:$A240),'Agenda 2026'!$N$2:$N$376,0)),"")</f>
        <v/>
      </c>
      <c r="C240" s="44" t="str">
        <f t="array" ref="C240">IFERROR(INDEX('Agenda 2026'!B$2:B$376,MATCH(ROWS($A$7:$A240),'Agenda 2026'!$N$2:$N$376,0)),"")</f>
        <v/>
      </c>
      <c r="D240" s="44" t="str">
        <f t="array" ref="D240">IFERROR(INDEX('Agenda 2026'!C$2:C$376,MATCH(ROWS($A$7:$A240),'Agenda 2026'!$N$2:$N$376,0)),"")</f>
        <v/>
      </c>
      <c r="E240" s="44" t="str">
        <f t="array" ref="E240">IFERROR(INDEX('Agenda 2026'!D$2:D$376,MATCH(ROWS($A$7:$A240),'Agenda 2026'!$N$2:$N$376,0)),"")</f>
        <v/>
      </c>
      <c r="F240" s="45" t="str">
        <f t="array" ref="F240">IFERROR(INDEX('Agenda 2026'!E$2:E$376,MATCH(ROWS($A$7:$A240),'Agenda 2026'!$N$2:$N$376,0)),"")</f>
        <v/>
      </c>
      <c r="G240" s="44" t="str">
        <f t="array" ref="G240">IFERROR(INDEX('Agenda 2026'!F$2:F$376,MATCH(ROWS($A$7:$A240),'Agenda 2026'!$N$2:$N$376,0)),"")</f>
        <v/>
      </c>
      <c r="H240" s="44" t="str">
        <f t="array" ref="H240">IFERROR(INDEX('Agenda 2026'!G$2:G$376,MATCH(ROWS($A$7:$A240),'Agenda 2026'!$N$2:$N$376,0)),"")</f>
        <v/>
      </c>
      <c r="I240" s="46" t="str">
        <f t="array" ref="I240">IFERROR(INDEX('Agenda 2026'!H$2:H$376,MATCH(ROWS($A$7:$A240),'Agenda 2026'!$N$2:$N$376,0)),"")</f>
        <v/>
      </c>
      <c r="J240" s="47"/>
      <c r="K240" s="48" t="str">
        <f t="array" ref="K240">IFERROR(HYPERLINK(INDEX('Agenda 2026'!J$2:J$376,MATCH(ROWS($A$7:$A240),'Agenda 2026'!$N$2:$N$376,0)),"Ver fuente ↗"),"")</f>
        <v/>
      </c>
      <c r="L240" s="49" t="str">
        <f t="array" ref="L240">IFERROR(INDEX('Agenda 2026'!K$2:K$376,MATCH(ROWS($A$7:$A240),'Agenda 2026'!$N$2:$N$376,0)),"")</f>
        <v/>
      </c>
      <c r="M240" s="50" t="str">
        <f t="array" ref="M240">IFERROR(INDEX('Agenda 2026'!O$2:O$376,MATCH(ROWS($A$7:$A240),'Agenda 2026'!$N$2:$N$376,0)),"")</f>
        <v/>
      </c>
    </row>
    <row r="241" spans="1:13" ht="42" customHeight="1" x14ac:dyDescent="0.35">
      <c r="A241" s="42" t="str">
        <f t="array" ref="A241">IFERROR(INDEX('Agenda 2026'!A$2:A$376,MATCH(ROWS($A$7:$A241),'Agenda 2026'!$N$2:$N$376,0)),"")</f>
        <v/>
      </c>
      <c r="B241" s="43" t="str">
        <f t="array" ref="B241">IFERROR(INDEX('Agenda 2026'!P$2:P$376,MATCH(ROWS($A$7:$A241),'Agenda 2026'!$N$2:$N$376,0)),"")</f>
        <v/>
      </c>
      <c r="C241" s="44" t="str">
        <f t="array" ref="C241">IFERROR(INDEX('Agenda 2026'!B$2:B$376,MATCH(ROWS($A$7:$A241),'Agenda 2026'!$N$2:$N$376,0)),"")</f>
        <v/>
      </c>
      <c r="D241" s="44" t="str">
        <f t="array" ref="D241">IFERROR(INDEX('Agenda 2026'!C$2:C$376,MATCH(ROWS($A$7:$A241),'Agenda 2026'!$N$2:$N$376,0)),"")</f>
        <v/>
      </c>
      <c r="E241" s="44" t="str">
        <f t="array" ref="E241">IFERROR(INDEX('Agenda 2026'!D$2:D$376,MATCH(ROWS($A$7:$A241),'Agenda 2026'!$N$2:$N$376,0)),"")</f>
        <v/>
      </c>
      <c r="F241" s="45" t="str">
        <f t="array" ref="F241">IFERROR(INDEX('Agenda 2026'!E$2:E$376,MATCH(ROWS($A$7:$A241),'Agenda 2026'!$N$2:$N$376,0)),"")</f>
        <v/>
      </c>
      <c r="G241" s="44" t="str">
        <f t="array" ref="G241">IFERROR(INDEX('Agenda 2026'!F$2:F$376,MATCH(ROWS($A$7:$A241),'Agenda 2026'!$N$2:$N$376,0)),"")</f>
        <v/>
      </c>
      <c r="H241" s="44" t="str">
        <f t="array" ref="H241">IFERROR(INDEX('Agenda 2026'!G$2:G$376,MATCH(ROWS($A$7:$A241),'Agenda 2026'!$N$2:$N$376,0)),"")</f>
        <v/>
      </c>
      <c r="I241" s="46" t="str">
        <f t="array" ref="I241">IFERROR(INDEX('Agenda 2026'!H$2:H$376,MATCH(ROWS($A$7:$A241),'Agenda 2026'!$N$2:$N$376,0)),"")</f>
        <v/>
      </c>
      <c r="J241" s="47"/>
      <c r="K241" s="48" t="str">
        <f t="array" ref="K241">IFERROR(HYPERLINK(INDEX('Agenda 2026'!J$2:J$376,MATCH(ROWS($A$7:$A241),'Agenda 2026'!$N$2:$N$376,0)),"Ver fuente ↗"),"")</f>
        <v/>
      </c>
      <c r="L241" s="49" t="str">
        <f t="array" ref="L241">IFERROR(INDEX('Agenda 2026'!K$2:K$376,MATCH(ROWS($A$7:$A241),'Agenda 2026'!$N$2:$N$376,0)),"")</f>
        <v/>
      </c>
      <c r="M241" s="50" t="str">
        <f t="array" ref="M241">IFERROR(INDEX('Agenda 2026'!O$2:O$376,MATCH(ROWS($A$7:$A241),'Agenda 2026'!$N$2:$N$376,0)),"")</f>
        <v/>
      </c>
    </row>
    <row r="242" spans="1:13" ht="42" customHeight="1" x14ac:dyDescent="0.35">
      <c r="A242" s="42" t="str">
        <f t="array" ref="A242">IFERROR(INDEX('Agenda 2026'!A$2:A$376,MATCH(ROWS($A$7:$A242),'Agenda 2026'!$N$2:$N$376,0)),"")</f>
        <v/>
      </c>
      <c r="B242" s="43" t="str">
        <f t="array" ref="B242">IFERROR(INDEX('Agenda 2026'!P$2:P$376,MATCH(ROWS($A$7:$A242),'Agenda 2026'!$N$2:$N$376,0)),"")</f>
        <v/>
      </c>
      <c r="C242" s="44" t="str">
        <f t="array" ref="C242">IFERROR(INDEX('Agenda 2026'!B$2:B$376,MATCH(ROWS($A$7:$A242),'Agenda 2026'!$N$2:$N$376,0)),"")</f>
        <v/>
      </c>
      <c r="D242" s="44" t="str">
        <f t="array" ref="D242">IFERROR(INDEX('Agenda 2026'!C$2:C$376,MATCH(ROWS($A$7:$A242),'Agenda 2026'!$N$2:$N$376,0)),"")</f>
        <v/>
      </c>
      <c r="E242" s="44" t="str">
        <f t="array" ref="E242">IFERROR(INDEX('Agenda 2026'!D$2:D$376,MATCH(ROWS($A$7:$A242),'Agenda 2026'!$N$2:$N$376,0)),"")</f>
        <v/>
      </c>
      <c r="F242" s="45" t="str">
        <f t="array" ref="F242">IFERROR(INDEX('Agenda 2026'!E$2:E$376,MATCH(ROWS($A$7:$A242),'Agenda 2026'!$N$2:$N$376,0)),"")</f>
        <v/>
      </c>
      <c r="G242" s="44" t="str">
        <f t="array" ref="G242">IFERROR(INDEX('Agenda 2026'!F$2:F$376,MATCH(ROWS($A$7:$A242),'Agenda 2026'!$N$2:$N$376,0)),"")</f>
        <v/>
      </c>
      <c r="H242" s="44" t="str">
        <f t="array" ref="H242">IFERROR(INDEX('Agenda 2026'!G$2:G$376,MATCH(ROWS($A$7:$A242),'Agenda 2026'!$N$2:$N$376,0)),"")</f>
        <v/>
      </c>
      <c r="I242" s="46" t="str">
        <f t="array" ref="I242">IFERROR(INDEX('Agenda 2026'!H$2:H$376,MATCH(ROWS($A$7:$A242),'Agenda 2026'!$N$2:$N$376,0)),"")</f>
        <v/>
      </c>
      <c r="J242" s="47"/>
      <c r="K242" s="48" t="str">
        <f t="array" ref="K242">IFERROR(HYPERLINK(INDEX('Agenda 2026'!J$2:J$376,MATCH(ROWS($A$7:$A242),'Agenda 2026'!$N$2:$N$376,0)),"Ver fuente ↗"),"")</f>
        <v/>
      </c>
      <c r="L242" s="49" t="str">
        <f t="array" ref="L242">IFERROR(INDEX('Agenda 2026'!K$2:K$376,MATCH(ROWS($A$7:$A242),'Agenda 2026'!$N$2:$N$376,0)),"")</f>
        <v/>
      </c>
      <c r="M242" s="50" t="str">
        <f t="array" ref="M242">IFERROR(INDEX('Agenda 2026'!O$2:O$376,MATCH(ROWS($A$7:$A242),'Agenda 2026'!$N$2:$N$376,0)),"")</f>
        <v/>
      </c>
    </row>
    <row r="243" spans="1:13" ht="42" customHeight="1" x14ac:dyDescent="0.35">
      <c r="A243" s="42" t="str">
        <f t="array" ref="A243">IFERROR(INDEX('Agenda 2026'!A$2:A$376,MATCH(ROWS($A$7:$A243),'Agenda 2026'!$N$2:$N$376,0)),"")</f>
        <v/>
      </c>
      <c r="B243" s="43" t="str">
        <f t="array" ref="B243">IFERROR(INDEX('Agenda 2026'!P$2:P$376,MATCH(ROWS($A$7:$A243),'Agenda 2026'!$N$2:$N$376,0)),"")</f>
        <v/>
      </c>
      <c r="C243" s="44" t="str">
        <f t="array" ref="C243">IFERROR(INDEX('Agenda 2026'!B$2:B$376,MATCH(ROWS($A$7:$A243),'Agenda 2026'!$N$2:$N$376,0)),"")</f>
        <v/>
      </c>
      <c r="D243" s="44" t="str">
        <f t="array" ref="D243">IFERROR(INDEX('Agenda 2026'!C$2:C$376,MATCH(ROWS($A$7:$A243),'Agenda 2026'!$N$2:$N$376,0)),"")</f>
        <v/>
      </c>
      <c r="E243" s="44" t="str">
        <f t="array" ref="E243">IFERROR(INDEX('Agenda 2026'!D$2:D$376,MATCH(ROWS($A$7:$A243),'Agenda 2026'!$N$2:$N$376,0)),"")</f>
        <v/>
      </c>
      <c r="F243" s="45" t="str">
        <f t="array" ref="F243">IFERROR(INDEX('Agenda 2026'!E$2:E$376,MATCH(ROWS($A$7:$A243),'Agenda 2026'!$N$2:$N$376,0)),"")</f>
        <v/>
      </c>
      <c r="G243" s="44" t="str">
        <f t="array" ref="G243">IFERROR(INDEX('Agenda 2026'!F$2:F$376,MATCH(ROWS($A$7:$A243),'Agenda 2026'!$N$2:$N$376,0)),"")</f>
        <v/>
      </c>
      <c r="H243" s="44" t="str">
        <f t="array" ref="H243">IFERROR(INDEX('Agenda 2026'!G$2:G$376,MATCH(ROWS($A$7:$A243),'Agenda 2026'!$N$2:$N$376,0)),"")</f>
        <v/>
      </c>
      <c r="I243" s="46" t="str">
        <f t="array" ref="I243">IFERROR(INDEX('Agenda 2026'!H$2:H$376,MATCH(ROWS($A$7:$A243),'Agenda 2026'!$N$2:$N$376,0)),"")</f>
        <v/>
      </c>
      <c r="J243" s="47"/>
      <c r="K243" s="48" t="str">
        <f t="array" ref="K243">IFERROR(HYPERLINK(INDEX('Agenda 2026'!J$2:J$376,MATCH(ROWS($A$7:$A243),'Agenda 2026'!$N$2:$N$376,0)),"Ver fuente ↗"),"")</f>
        <v/>
      </c>
      <c r="L243" s="49" t="str">
        <f t="array" ref="L243">IFERROR(INDEX('Agenda 2026'!K$2:K$376,MATCH(ROWS($A$7:$A243),'Agenda 2026'!$N$2:$N$376,0)),"")</f>
        <v/>
      </c>
      <c r="M243" s="50" t="str">
        <f t="array" ref="M243">IFERROR(INDEX('Agenda 2026'!O$2:O$376,MATCH(ROWS($A$7:$A243),'Agenda 2026'!$N$2:$N$376,0)),"")</f>
        <v/>
      </c>
    </row>
    <row r="244" spans="1:13" ht="42" customHeight="1" x14ac:dyDescent="0.35">
      <c r="A244" s="42" t="str">
        <f t="array" ref="A244">IFERROR(INDEX('Agenda 2026'!A$2:A$376,MATCH(ROWS($A$7:$A244),'Agenda 2026'!$N$2:$N$376,0)),"")</f>
        <v/>
      </c>
      <c r="B244" s="43" t="str">
        <f t="array" ref="B244">IFERROR(INDEX('Agenda 2026'!P$2:P$376,MATCH(ROWS($A$7:$A244),'Agenda 2026'!$N$2:$N$376,0)),"")</f>
        <v/>
      </c>
      <c r="C244" s="44" t="str">
        <f t="array" ref="C244">IFERROR(INDEX('Agenda 2026'!B$2:B$376,MATCH(ROWS($A$7:$A244),'Agenda 2026'!$N$2:$N$376,0)),"")</f>
        <v/>
      </c>
      <c r="D244" s="44" t="str">
        <f t="array" ref="D244">IFERROR(INDEX('Agenda 2026'!C$2:C$376,MATCH(ROWS($A$7:$A244),'Agenda 2026'!$N$2:$N$376,0)),"")</f>
        <v/>
      </c>
      <c r="E244" s="44" t="str">
        <f t="array" ref="E244">IFERROR(INDEX('Agenda 2026'!D$2:D$376,MATCH(ROWS($A$7:$A244),'Agenda 2026'!$N$2:$N$376,0)),"")</f>
        <v/>
      </c>
      <c r="F244" s="45" t="str">
        <f t="array" ref="F244">IFERROR(INDEX('Agenda 2026'!E$2:E$376,MATCH(ROWS($A$7:$A244),'Agenda 2026'!$N$2:$N$376,0)),"")</f>
        <v/>
      </c>
      <c r="G244" s="44" t="str">
        <f t="array" ref="G244">IFERROR(INDEX('Agenda 2026'!F$2:F$376,MATCH(ROWS($A$7:$A244),'Agenda 2026'!$N$2:$N$376,0)),"")</f>
        <v/>
      </c>
      <c r="H244" s="44" t="str">
        <f t="array" ref="H244">IFERROR(INDEX('Agenda 2026'!G$2:G$376,MATCH(ROWS($A$7:$A244),'Agenda 2026'!$N$2:$N$376,0)),"")</f>
        <v/>
      </c>
      <c r="I244" s="46" t="str">
        <f t="array" ref="I244">IFERROR(INDEX('Agenda 2026'!H$2:H$376,MATCH(ROWS($A$7:$A244),'Agenda 2026'!$N$2:$N$376,0)),"")</f>
        <v/>
      </c>
      <c r="J244" s="47"/>
      <c r="K244" s="48" t="str">
        <f t="array" ref="K244">IFERROR(HYPERLINK(INDEX('Agenda 2026'!J$2:J$376,MATCH(ROWS($A$7:$A244),'Agenda 2026'!$N$2:$N$376,0)),"Ver fuente ↗"),"")</f>
        <v/>
      </c>
      <c r="L244" s="49" t="str">
        <f t="array" ref="L244">IFERROR(INDEX('Agenda 2026'!K$2:K$376,MATCH(ROWS($A$7:$A244),'Agenda 2026'!$N$2:$N$376,0)),"")</f>
        <v/>
      </c>
      <c r="M244" s="50" t="str">
        <f t="array" ref="M244">IFERROR(INDEX('Agenda 2026'!O$2:O$376,MATCH(ROWS($A$7:$A244),'Agenda 2026'!$N$2:$N$376,0)),"")</f>
        <v/>
      </c>
    </row>
    <row r="245" spans="1:13" ht="42" customHeight="1" x14ac:dyDescent="0.35">
      <c r="A245" s="42" t="str">
        <f t="array" ref="A245">IFERROR(INDEX('Agenda 2026'!A$2:A$376,MATCH(ROWS($A$7:$A245),'Agenda 2026'!$N$2:$N$376,0)),"")</f>
        <v/>
      </c>
      <c r="B245" s="43" t="str">
        <f t="array" ref="B245">IFERROR(INDEX('Agenda 2026'!P$2:P$376,MATCH(ROWS($A$7:$A245),'Agenda 2026'!$N$2:$N$376,0)),"")</f>
        <v/>
      </c>
      <c r="C245" s="44" t="str">
        <f t="array" ref="C245">IFERROR(INDEX('Agenda 2026'!B$2:B$376,MATCH(ROWS($A$7:$A245),'Agenda 2026'!$N$2:$N$376,0)),"")</f>
        <v/>
      </c>
      <c r="D245" s="44" t="str">
        <f t="array" ref="D245">IFERROR(INDEX('Agenda 2026'!C$2:C$376,MATCH(ROWS($A$7:$A245),'Agenda 2026'!$N$2:$N$376,0)),"")</f>
        <v/>
      </c>
      <c r="E245" s="44" t="str">
        <f t="array" ref="E245">IFERROR(INDEX('Agenda 2026'!D$2:D$376,MATCH(ROWS($A$7:$A245),'Agenda 2026'!$N$2:$N$376,0)),"")</f>
        <v/>
      </c>
      <c r="F245" s="45" t="str">
        <f t="array" ref="F245">IFERROR(INDEX('Agenda 2026'!E$2:E$376,MATCH(ROWS($A$7:$A245),'Agenda 2026'!$N$2:$N$376,0)),"")</f>
        <v/>
      </c>
      <c r="G245" s="44" t="str">
        <f t="array" ref="G245">IFERROR(INDEX('Agenda 2026'!F$2:F$376,MATCH(ROWS($A$7:$A245),'Agenda 2026'!$N$2:$N$376,0)),"")</f>
        <v/>
      </c>
      <c r="H245" s="44" t="str">
        <f t="array" ref="H245">IFERROR(INDEX('Agenda 2026'!G$2:G$376,MATCH(ROWS($A$7:$A245),'Agenda 2026'!$N$2:$N$376,0)),"")</f>
        <v/>
      </c>
      <c r="I245" s="46" t="str">
        <f t="array" ref="I245">IFERROR(INDEX('Agenda 2026'!H$2:H$376,MATCH(ROWS($A$7:$A245),'Agenda 2026'!$N$2:$N$376,0)),"")</f>
        <v/>
      </c>
      <c r="J245" s="47"/>
      <c r="K245" s="48" t="str">
        <f t="array" ref="K245">IFERROR(HYPERLINK(INDEX('Agenda 2026'!J$2:J$376,MATCH(ROWS($A$7:$A245),'Agenda 2026'!$N$2:$N$376,0)),"Ver fuente ↗"),"")</f>
        <v/>
      </c>
      <c r="L245" s="49" t="str">
        <f t="array" ref="L245">IFERROR(INDEX('Agenda 2026'!K$2:K$376,MATCH(ROWS($A$7:$A245),'Agenda 2026'!$N$2:$N$376,0)),"")</f>
        <v/>
      </c>
      <c r="M245" s="50" t="str">
        <f t="array" ref="M245">IFERROR(INDEX('Agenda 2026'!O$2:O$376,MATCH(ROWS($A$7:$A245),'Agenda 2026'!$N$2:$N$376,0)),"")</f>
        <v/>
      </c>
    </row>
    <row r="246" spans="1:13" ht="42" customHeight="1" x14ac:dyDescent="0.35">
      <c r="A246" s="42" t="str">
        <f t="array" ref="A246">IFERROR(INDEX('Agenda 2026'!A$2:A$376,MATCH(ROWS($A$7:$A246),'Agenda 2026'!$N$2:$N$376,0)),"")</f>
        <v/>
      </c>
      <c r="B246" s="43" t="str">
        <f t="array" ref="B246">IFERROR(INDEX('Agenda 2026'!P$2:P$376,MATCH(ROWS($A$7:$A246),'Agenda 2026'!$N$2:$N$376,0)),"")</f>
        <v/>
      </c>
      <c r="C246" s="44" t="str">
        <f t="array" ref="C246">IFERROR(INDEX('Agenda 2026'!B$2:B$376,MATCH(ROWS($A$7:$A246),'Agenda 2026'!$N$2:$N$376,0)),"")</f>
        <v/>
      </c>
      <c r="D246" s="44" t="str">
        <f t="array" ref="D246">IFERROR(INDEX('Agenda 2026'!C$2:C$376,MATCH(ROWS($A$7:$A246),'Agenda 2026'!$N$2:$N$376,0)),"")</f>
        <v/>
      </c>
      <c r="E246" s="44" t="str">
        <f t="array" ref="E246">IFERROR(INDEX('Agenda 2026'!D$2:D$376,MATCH(ROWS($A$7:$A246),'Agenda 2026'!$N$2:$N$376,0)),"")</f>
        <v/>
      </c>
      <c r="F246" s="45" t="str">
        <f t="array" ref="F246">IFERROR(INDEX('Agenda 2026'!E$2:E$376,MATCH(ROWS($A$7:$A246),'Agenda 2026'!$N$2:$N$376,0)),"")</f>
        <v/>
      </c>
      <c r="G246" s="44" t="str">
        <f t="array" ref="G246">IFERROR(INDEX('Agenda 2026'!F$2:F$376,MATCH(ROWS($A$7:$A246),'Agenda 2026'!$N$2:$N$376,0)),"")</f>
        <v/>
      </c>
      <c r="H246" s="44" t="str">
        <f t="array" ref="H246">IFERROR(INDEX('Agenda 2026'!G$2:G$376,MATCH(ROWS($A$7:$A246),'Agenda 2026'!$N$2:$N$376,0)),"")</f>
        <v/>
      </c>
      <c r="I246" s="46" t="str">
        <f t="array" ref="I246">IFERROR(INDEX('Agenda 2026'!H$2:H$376,MATCH(ROWS($A$7:$A246),'Agenda 2026'!$N$2:$N$376,0)),"")</f>
        <v/>
      </c>
      <c r="J246" s="47"/>
      <c r="K246" s="48" t="str">
        <f t="array" ref="K246">IFERROR(HYPERLINK(INDEX('Agenda 2026'!J$2:J$376,MATCH(ROWS($A$7:$A246),'Agenda 2026'!$N$2:$N$376,0)),"Ver fuente ↗"),"")</f>
        <v/>
      </c>
      <c r="L246" s="49" t="str">
        <f t="array" ref="L246">IFERROR(INDEX('Agenda 2026'!K$2:K$376,MATCH(ROWS($A$7:$A246),'Agenda 2026'!$N$2:$N$376,0)),"")</f>
        <v/>
      </c>
      <c r="M246" s="50" t="str">
        <f t="array" ref="M246">IFERROR(INDEX('Agenda 2026'!O$2:O$376,MATCH(ROWS($A$7:$A246),'Agenda 2026'!$N$2:$N$376,0)),"")</f>
        <v/>
      </c>
    </row>
    <row r="247" spans="1:13" ht="42" customHeight="1" x14ac:dyDescent="0.35">
      <c r="A247" s="42" t="str">
        <f t="array" ref="A247">IFERROR(INDEX('Agenda 2026'!A$2:A$376,MATCH(ROWS($A$7:$A247),'Agenda 2026'!$N$2:$N$376,0)),"")</f>
        <v/>
      </c>
      <c r="B247" s="43" t="str">
        <f t="array" ref="B247">IFERROR(INDEX('Agenda 2026'!P$2:P$376,MATCH(ROWS($A$7:$A247),'Agenda 2026'!$N$2:$N$376,0)),"")</f>
        <v/>
      </c>
      <c r="C247" s="44" t="str">
        <f t="array" ref="C247">IFERROR(INDEX('Agenda 2026'!B$2:B$376,MATCH(ROWS($A$7:$A247),'Agenda 2026'!$N$2:$N$376,0)),"")</f>
        <v/>
      </c>
      <c r="D247" s="44" t="str">
        <f t="array" ref="D247">IFERROR(INDEX('Agenda 2026'!C$2:C$376,MATCH(ROWS($A$7:$A247),'Agenda 2026'!$N$2:$N$376,0)),"")</f>
        <v/>
      </c>
      <c r="E247" s="44" t="str">
        <f t="array" ref="E247">IFERROR(INDEX('Agenda 2026'!D$2:D$376,MATCH(ROWS($A$7:$A247),'Agenda 2026'!$N$2:$N$376,0)),"")</f>
        <v/>
      </c>
      <c r="F247" s="45" t="str">
        <f t="array" ref="F247">IFERROR(INDEX('Agenda 2026'!E$2:E$376,MATCH(ROWS($A$7:$A247),'Agenda 2026'!$N$2:$N$376,0)),"")</f>
        <v/>
      </c>
      <c r="G247" s="44" t="str">
        <f t="array" ref="G247">IFERROR(INDEX('Agenda 2026'!F$2:F$376,MATCH(ROWS($A$7:$A247),'Agenda 2026'!$N$2:$N$376,0)),"")</f>
        <v/>
      </c>
      <c r="H247" s="44" t="str">
        <f t="array" ref="H247">IFERROR(INDEX('Agenda 2026'!G$2:G$376,MATCH(ROWS($A$7:$A247),'Agenda 2026'!$N$2:$N$376,0)),"")</f>
        <v/>
      </c>
      <c r="I247" s="46" t="str">
        <f t="array" ref="I247">IFERROR(INDEX('Agenda 2026'!H$2:H$376,MATCH(ROWS($A$7:$A247),'Agenda 2026'!$N$2:$N$376,0)),"")</f>
        <v/>
      </c>
      <c r="J247" s="47"/>
      <c r="K247" s="48" t="str">
        <f t="array" ref="K247">IFERROR(HYPERLINK(INDEX('Agenda 2026'!J$2:J$376,MATCH(ROWS($A$7:$A247),'Agenda 2026'!$N$2:$N$376,0)),"Ver fuente ↗"),"")</f>
        <v/>
      </c>
      <c r="L247" s="49" t="str">
        <f t="array" ref="L247">IFERROR(INDEX('Agenda 2026'!K$2:K$376,MATCH(ROWS($A$7:$A247),'Agenda 2026'!$N$2:$N$376,0)),"")</f>
        <v/>
      </c>
      <c r="M247" s="50" t="str">
        <f t="array" ref="M247">IFERROR(INDEX('Agenda 2026'!O$2:O$376,MATCH(ROWS($A$7:$A247),'Agenda 2026'!$N$2:$N$376,0)),"")</f>
        <v/>
      </c>
    </row>
    <row r="248" spans="1:13" ht="42" customHeight="1" x14ac:dyDescent="0.35">
      <c r="A248" s="42" t="str">
        <f t="array" ref="A248">IFERROR(INDEX('Agenda 2026'!A$2:A$376,MATCH(ROWS($A$7:$A248),'Agenda 2026'!$N$2:$N$376,0)),"")</f>
        <v/>
      </c>
      <c r="B248" s="43" t="str">
        <f t="array" ref="B248">IFERROR(INDEX('Agenda 2026'!P$2:P$376,MATCH(ROWS($A$7:$A248),'Agenda 2026'!$N$2:$N$376,0)),"")</f>
        <v/>
      </c>
      <c r="C248" s="44" t="str">
        <f t="array" ref="C248">IFERROR(INDEX('Agenda 2026'!B$2:B$376,MATCH(ROWS($A$7:$A248),'Agenda 2026'!$N$2:$N$376,0)),"")</f>
        <v/>
      </c>
      <c r="D248" s="44" t="str">
        <f t="array" ref="D248">IFERROR(INDEX('Agenda 2026'!C$2:C$376,MATCH(ROWS($A$7:$A248),'Agenda 2026'!$N$2:$N$376,0)),"")</f>
        <v/>
      </c>
      <c r="E248" s="44" t="str">
        <f t="array" ref="E248">IFERROR(INDEX('Agenda 2026'!D$2:D$376,MATCH(ROWS($A$7:$A248),'Agenda 2026'!$N$2:$N$376,0)),"")</f>
        <v/>
      </c>
      <c r="F248" s="45" t="str">
        <f t="array" ref="F248">IFERROR(INDEX('Agenda 2026'!E$2:E$376,MATCH(ROWS($A$7:$A248),'Agenda 2026'!$N$2:$N$376,0)),"")</f>
        <v/>
      </c>
      <c r="G248" s="44" t="str">
        <f t="array" ref="G248">IFERROR(INDEX('Agenda 2026'!F$2:F$376,MATCH(ROWS($A$7:$A248),'Agenda 2026'!$N$2:$N$376,0)),"")</f>
        <v/>
      </c>
      <c r="H248" s="44" t="str">
        <f t="array" ref="H248">IFERROR(INDEX('Agenda 2026'!G$2:G$376,MATCH(ROWS($A$7:$A248),'Agenda 2026'!$N$2:$N$376,0)),"")</f>
        <v/>
      </c>
      <c r="I248" s="46" t="str">
        <f t="array" ref="I248">IFERROR(INDEX('Agenda 2026'!H$2:H$376,MATCH(ROWS($A$7:$A248),'Agenda 2026'!$N$2:$N$376,0)),"")</f>
        <v/>
      </c>
      <c r="J248" s="47"/>
      <c r="K248" s="48" t="str">
        <f t="array" ref="K248">IFERROR(HYPERLINK(INDEX('Agenda 2026'!J$2:J$376,MATCH(ROWS($A$7:$A248),'Agenda 2026'!$N$2:$N$376,0)),"Ver fuente ↗"),"")</f>
        <v/>
      </c>
      <c r="L248" s="49" t="str">
        <f t="array" ref="L248">IFERROR(INDEX('Agenda 2026'!K$2:K$376,MATCH(ROWS($A$7:$A248),'Agenda 2026'!$N$2:$N$376,0)),"")</f>
        <v/>
      </c>
      <c r="M248" s="50" t="str">
        <f t="array" ref="M248">IFERROR(INDEX('Agenda 2026'!O$2:O$376,MATCH(ROWS($A$7:$A248),'Agenda 2026'!$N$2:$N$376,0)),"")</f>
        <v/>
      </c>
    </row>
    <row r="249" spans="1:13" ht="42" customHeight="1" x14ac:dyDescent="0.35">
      <c r="A249" s="42" t="str">
        <f t="array" ref="A249">IFERROR(INDEX('Agenda 2026'!A$2:A$376,MATCH(ROWS($A$7:$A249),'Agenda 2026'!$N$2:$N$376,0)),"")</f>
        <v/>
      </c>
      <c r="B249" s="43" t="str">
        <f t="array" ref="B249">IFERROR(INDEX('Agenda 2026'!P$2:P$376,MATCH(ROWS($A$7:$A249),'Agenda 2026'!$N$2:$N$376,0)),"")</f>
        <v/>
      </c>
      <c r="C249" s="44" t="str">
        <f t="array" ref="C249">IFERROR(INDEX('Agenda 2026'!B$2:B$376,MATCH(ROWS($A$7:$A249),'Agenda 2026'!$N$2:$N$376,0)),"")</f>
        <v/>
      </c>
      <c r="D249" s="44" t="str">
        <f t="array" ref="D249">IFERROR(INDEX('Agenda 2026'!C$2:C$376,MATCH(ROWS($A$7:$A249),'Agenda 2026'!$N$2:$N$376,0)),"")</f>
        <v/>
      </c>
      <c r="E249" s="44" t="str">
        <f t="array" ref="E249">IFERROR(INDEX('Agenda 2026'!D$2:D$376,MATCH(ROWS($A$7:$A249),'Agenda 2026'!$N$2:$N$376,0)),"")</f>
        <v/>
      </c>
      <c r="F249" s="45" t="str">
        <f t="array" ref="F249">IFERROR(INDEX('Agenda 2026'!E$2:E$376,MATCH(ROWS($A$7:$A249),'Agenda 2026'!$N$2:$N$376,0)),"")</f>
        <v/>
      </c>
      <c r="G249" s="44" t="str">
        <f t="array" ref="G249">IFERROR(INDEX('Agenda 2026'!F$2:F$376,MATCH(ROWS($A$7:$A249),'Agenda 2026'!$N$2:$N$376,0)),"")</f>
        <v/>
      </c>
      <c r="H249" s="44" t="str">
        <f t="array" ref="H249">IFERROR(INDEX('Agenda 2026'!G$2:G$376,MATCH(ROWS($A$7:$A249),'Agenda 2026'!$N$2:$N$376,0)),"")</f>
        <v/>
      </c>
      <c r="I249" s="46" t="str">
        <f t="array" ref="I249">IFERROR(INDEX('Agenda 2026'!H$2:H$376,MATCH(ROWS($A$7:$A249),'Agenda 2026'!$N$2:$N$376,0)),"")</f>
        <v/>
      </c>
      <c r="J249" s="47"/>
      <c r="K249" s="48" t="str">
        <f t="array" ref="K249">IFERROR(HYPERLINK(INDEX('Agenda 2026'!J$2:J$376,MATCH(ROWS($A$7:$A249),'Agenda 2026'!$N$2:$N$376,0)),"Ver fuente ↗"),"")</f>
        <v/>
      </c>
      <c r="L249" s="49" t="str">
        <f t="array" ref="L249">IFERROR(INDEX('Agenda 2026'!K$2:K$376,MATCH(ROWS($A$7:$A249),'Agenda 2026'!$N$2:$N$376,0)),"")</f>
        <v/>
      </c>
      <c r="M249" s="50" t="str">
        <f t="array" ref="M249">IFERROR(INDEX('Agenda 2026'!O$2:O$376,MATCH(ROWS($A$7:$A249),'Agenda 2026'!$N$2:$N$376,0)),"")</f>
        <v/>
      </c>
    </row>
    <row r="250" spans="1:13" ht="42" customHeight="1" x14ac:dyDescent="0.35">
      <c r="A250" s="42" t="str">
        <f t="array" ref="A250">IFERROR(INDEX('Agenda 2026'!A$2:A$376,MATCH(ROWS($A$7:$A250),'Agenda 2026'!$N$2:$N$376,0)),"")</f>
        <v/>
      </c>
      <c r="B250" s="43" t="str">
        <f t="array" ref="B250">IFERROR(INDEX('Agenda 2026'!P$2:P$376,MATCH(ROWS($A$7:$A250),'Agenda 2026'!$N$2:$N$376,0)),"")</f>
        <v/>
      </c>
      <c r="C250" s="44" t="str">
        <f t="array" ref="C250">IFERROR(INDEX('Agenda 2026'!B$2:B$376,MATCH(ROWS($A$7:$A250),'Agenda 2026'!$N$2:$N$376,0)),"")</f>
        <v/>
      </c>
      <c r="D250" s="44" t="str">
        <f t="array" ref="D250">IFERROR(INDEX('Agenda 2026'!C$2:C$376,MATCH(ROWS($A$7:$A250),'Agenda 2026'!$N$2:$N$376,0)),"")</f>
        <v/>
      </c>
      <c r="E250" s="44" t="str">
        <f t="array" ref="E250">IFERROR(INDEX('Agenda 2026'!D$2:D$376,MATCH(ROWS($A$7:$A250),'Agenda 2026'!$N$2:$N$376,0)),"")</f>
        <v/>
      </c>
      <c r="F250" s="45" t="str">
        <f t="array" ref="F250">IFERROR(INDEX('Agenda 2026'!E$2:E$376,MATCH(ROWS($A$7:$A250),'Agenda 2026'!$N$2:$N$376,0)),"")</f>
        <v/>
      </c>
      <c r="G250" s="44" t="str">
        <f t="array" ref="G250">IFERROR(INDEX('Agenda 2026'!F$2:F$376,MATCH(ROWS($A$7:$A250),'Agenda 2026'!$N$2:$N$376,0)),"")</f>
        <v/>
      </c>
      <c r="H250" s="44" t="str">
        <f t="array" ref="H250">IFERROR(INDEX('Agenda 2026'!G$2:G$376,MATCH(ROWS($A$7:$A250),'Agenda 2026'!$N$2:$N$376,0)),"")</f>
        <v/>
      </c>
      <c r="I250" s="46" t="str">
        <f t="array" ref="I250">IFERROR(INDEX('Agenda 2026'!H$2:H$376,MATCH(ROWS($A$7:$A250),'Agenda 2026'!$N$2:$N$376,0)),"")</f>
        <v/>
      </c>
      <c r="J250" s="47"/>
      <c r="K250" s="48" t="str">
        <f t="array" ref="K250">IFERROR(HYPERLINK(INDEX('Agenda 2026'!J$2:J$376,MATCH(ROWS($A$7:$A250),'Agenda 2026'!$N$2:$N$376,0)),"Ver fuente ↗"),"")</f>
        <v/>
      </c>
      <c r="L250" s="49" t="str">
        <f t="array" ref="L250">IFERROR(INDEX('Agenda 2026'!K$2:K$376,MATCH(ROWS($A$7:$A250),'Agenda 2026'!$N$2:$N$376,0)),"")</f>
        <v/>
      </c>
      <c r="M250" s="50" t="str">
        <f t="array" ref="M250">IFERROR(INDEX('Agenda 2026'!O$2:O$376,MATCH(ROWS($A$7:$A250),'Agenda 2026'!$N$2:$N$376,0)),"")</f>
        <v/>
      </c>
    </row>
    <row r="251" spans="1:13" ht="42" customHeight="1" x14ac:dyDescent="0.35">
      <c r="A251" s="42" t="str">
        <f t="array" ref="A251">IFERROR(INDEX('Agenda 2026'!A$2:A$376,MATCH(ROWS($A$7:$A251),'Agenda 2026'!$N$2:$N$376,0)),"")</f>
        <v/>
      </c>
      <c r="B251" s="43" t="str">
        <f t="array" ref="B251">IFERROR(INDEX('Agenda 2026'!P$2:P$376,MATCH(ROWS($A$7:$A251),'Agenda 2026'!$N$2:$N$376,0)),"")</f>
        <v/>
      </c>
      <c r="C251" s="44" t="str">
        <f t="array" ref="C251">IFERROR(INDEX('Agenda 2026'!B$2:B$376,MATCH(ROWS($A$7:$A251),'Agenda 2026'!$N$2:$N$376,0)),"")</f>
        <v/>
      </c>
      <c r="D251" s="44" t="str">
        <f t="array" ref="D251">IFERROR(INDEX('Agenda 2026'!C$2:C$376,MATCH(ROWS($A$7:$A251),'Agenda 2026'!$N$2:$N$376,0)),"")</f>
        <v/>
      </c>
      <c r="E251" s="44" t="str">
        <f t="array" ref="E251">IFERROR(INDEX('Agenda 2026'!D$2:D$376,MATCH(ROWS($A$7:$A251),'Agenda 2026'!$N$2:$N$376,0)),"")</f>
        <v/>
      </c>
      <c r="F251" s="45" t="str">
        <f t="array" ref="F251">IFERROR(INDEX('Agenda 2026'!E$2:E$376,MATCH(ROWS($A$7:$A251),'Agenda 2026'!$N$2:$N$376,0)),"")</f>
        <v/>
      </c>
      <c r="G251" s="44" t="str">
        <f t="array" ref="G251">IFERROR(INDEX('Agenda 2026'!F$2:F$376,MATCH(ROWS($A$7:$A251),'Agenda 2026'!$N$2:$N$376,0)),"")</f>
        <v/>
      </c>
      <c r="H251" s="44" t="str">
        <f t="array" ref="H251">IFERROR(INDEX('Agenda 2026'!G$2:G$376,MATCH(ROWS($A$7:$A251),'Agenda 2026'!$N$2:$N$376,0)),"")</f>
        <v/>
      </c>
      <c r="I251" s="46" t="str">
        <f t="array" ref="I251">IFERROR(INDEX('Agenda 2026'!H$2:H$376,MATCH(ROWS($A$7:$A251),'Agenda 2026'!$N$2:$N$376,0)),"")</f>
        <v/>
      </c>
      <c r="J251" s="47"/>
      <c r="K251" s="48" t="str">
        <f t="array" ref="K251">IFERROR(HYPERLINK(INDEX('Agenda 2026'!J$2:J$376,MATCH(ROWS($A$7:$A251),'Agenda 2026'!$N$2:$N$376,0)),"Ver fuente ↗"),"")</f>
        <v/>
      </c>
      <c r="L251" s="49" t="str">
        <f t="array" ref="L251">IFERROR(INDEX('Agenda 2026'!K$2:K$376,MATCH(ROWS($A$7:$A251),'Agenda 2026'!$N$2:$N$376,0)),"")</f>
        <v/>
      </c>
      <c r="M251" s="50" t="str">
        <f t="array" ref="M251">IFERROR(INDEX('Agenda 2026'!O$2:O$376,MATCH(ROWS($A$7:$A251),'Agenda 2026'!$N$2:$N$376,0)),"")</f>
        <v/>
      </c>
    </row>
    <row r="252" spans="1:13" ht="42" customHeight="1" x14ac:dyDescent="0.35">
      <c r="A252" s="42" t="str">
        <f t="array" ref="A252">IFERROR(INDEX('Agenda 2026'!A$2:A$376,MATCH(ROWS($A$7:$A252),'Agenda 2026'!$N$2:$N$376,0)),"")</f>
        <v/>
      </c>
      <c r="B252" s="43" t="str">
        <f t="array" ref="B252">IFERROR(INDEX('Agenda 2026'!P$2:P$376,MATCH(ROWS($A$7:$A252),'Agenda 2026'!$N$2:$N$376,0)),"")</f>
        <v/>
      </c>
      <c r="C252" s="44" t="str">
        <f t="array" ref="C252">IFERROR(INDEX('Agenda 2026'!B$2:B$376,MATCH(ROWS($A$7:$A252),'Agenda 2026'!$N$2:$N$376,0)),"")</f>
        <v/>
      </c>
      <c r="D252" s="44" t="str">
        <f t="array" ref="D252">IFERROR(INDEX('Agenda 2026'!C$2:C$376,MATCH(ROWS($A$7:$A252),'Agenda 2026'!$N$2:$N$376,0)),"")</f>
        <v/>
      </c>
      <c r="E252" s="44" t="str">
        <f t="array" ref="E252">IFERROR(INDEX('Agenda 2026'!D$2:D$376,MATCH(ROWS($A$7:$A252),'Agenda 2026'!$N$2:$N$376,0)),"")</f>
        <v/>
      </c>
      <c r="F252" s="45" t="str">
        <f t="array" ref="F252">IFERROR(INDEX('Agenda 2026'!E$2:E$376,MATCH(ROWS($A$7:$A252),'Agenda 2026'!$N$2:$N$376,0)),"")</f>
        <v/>
      </c>
      <c r="G252" s="44" t="str">
        <f t="array" ref="G252">IFERROR(INDEX('Agenda 2026'!F$2:F$376,MATCH(ROWS($A$7:$A252),'Agenda 2026'!$N$2:$N$376,0)),"")</f>
        <v/>
      </c>
      <c r="H252" s="44" t="str">
        <f t="array" ref="H252">IFERROR(INDEX('Agenda 2026'!G$2:G$376,MATCH(ROWS($A$7:$A252),'Agenda 2026'!$N$2:$N$376,0)),"")</f>
        <v/>
      </c>
      <c r="I252" s="46" t="str">
        <f t="array" ref="I252">IFERROR(INDEX('Agenda 2026'!H$2:H$376,MATCH(ROWS($A$7:$A252),'Agenda 2026'!$N$2:$N$376,0)),"")</f>
        <v/>
      </c>
      <c r="J252" s="47"/>
      <c r="K252" s="48" t="str">
        <f t="array" ref="K252">IFERROR(HYPERLINK(INDEX('Agenda 2026'!J$2:J$376,MATCH(ROWS($A$7:$A252),'Agenda 2026'!$N$2:$N$376,0)),"Ver fuente ↗"),"")</f>
        <v/>
      </c>
      <c r="L252" s="49" t="str">
        <f t="array" ref="L252">IFERROR(INDEX('Agenda 2026'!K$2:K$376,MATCH(ROWS($A$7:$A252),'Agenda 2026'!$N$2:$N$376,0)),"")</f>
        <v/>
      </c>
      <c r="M252" s="50" t="str">
        <f t="array" ref="M252">IFERROR(INDEX('Agenda 2026'!O$2:O$376,MATCH(ROWS($A$7:$A252),'Agenda 2026'!$N$2:$N$376,0)),"")</f>
        <v/>
      </c>
    </row>
    <row r="253" spans="1:13" ht="42" customHeight="1" x14ac:dyDescent="0.35">
      <c r="A253" s="42" t="str">
        <f t="array" ref="A253">IFERROR(INDEX('Agenda 2026'!A$2:A$376,MATCH(ROWS($A$7:$A253),'Agenda 2026'!$N$2:$N$376,0)),"")</f>
        <v/>
      </c>
      <c r="B253" s="43" t="str">
        <f t="array" ref="B253">IFERROR(INDEX('Agenda 2026'!P$2:P$376,MATCH(ROWS($A$7:$A253),'Agenda 2026'!$N$2:$N$376,0)),"")</f>
        <v/>
      </c>
      <c r="C253" s="44" t="str">
        <f t="array" ref="C253">IFERROR(INDEX('Agenda 2026'!B$2:B$376,MATCH(ROWS($A$7:$A253),'Agenda 2026'!$N$2:$N$376,0)),"")</f>
        <v/>
      </c>
      <c r="D253" s="44" t="str">
        <f t="array" ref="D253">IFERROR(INDEX('Agenda 2026'!C$2:C$376,MATCH(ROWS($A$7:$A253),'Agenda 2026'!$N$2:$N$376,0)),"")</f>
        <v/>
      </c>
      <c r="E253" s="44" t="str">
        <f t="array" ref="E253">IFERROR(INDEX('Agenda 2026'!D$2:D$376,MATCH(ROWS($A$7:$A253),'Agenda 2026'!$N$2:$N$376,0)),"")</f>
        <v/>
      </c>
      <c r="F253" s="45" t="str">
        <f t="array" ref="F253">IFERROR(INDEX('Agenda 2026'!E$2:E$376,MATCH(ROWS($A$7:$A253),'Agenda 2026'!$N$2:$N$376,0)),"")</f>
        <v/>
      </c>
      <c r="G253" s="44" t="str">
        <f t="array" ref="G253">IFERROR(INDEX('Agenda 2026'!F$2:F$376,MATCH(ROWS($A$7:$A253),'Agenda 2026'!$N$2:$N$376,0)),"")</f>
        <v/>
      </c>
      <c r="H253" s="44" t="str">
        <f t="array" ref="H253">IFERROR(INDEX('Agenda 2026'!G$2:G$376,MATCH(ROWS($A$7:$A253),'Agenda 2026'!$N$2:$N$376,0)),"")</f>
        <v/>
      </c>
      <c r="I253" s="46" t="str">
        <f t="array" ref="I253">IFERROR(INDEX('Agenda 2026'!H$2:H$376,MATCH(ROWS($A$7:$A253),'Agenda 2026'!$N$2:$N$376,0)),"")</f>
        <v/>
      </c>
      <c r="J253" s="47"/>
      <c r="K253" s="48" t="str">
        <f t="array" ref="K253">IFERROR(HYPERLINK(INDEX('Agenda 2026'!J$2:J$376,MATCH(ROWS($A$7:$A253),'Agenda 2026'!$N$2:$N$376,0)),"Ver fuente ↗"),"")</f>
        <v/>
      </c>
      <c r="L253" s="49" t="str">
        <f t="array" ref="L253">IFERROR(INDEX('Agenda 2026'!K$2:K$376,MATCH(ROWS($A$7:$A253),'Agenda 2026'!$N$2:$N$376,0)),"")</f>
        <v/>
      </c>
      <c r="M253" s="50" t="str">
        <f t="array" ref="M253">IFERROR(INDEX('Agenda 2026'!O$2:O$376,MATCH(ROWS($A$7:$A253),'Agenda 2026'!$N$2:$N$376,0)),"")</f>
        <v/>
      </c>
    </row>
    <row r="254" spans="1:13" ht="42" customHeight="1" x14ac:dyDescent="0.35">
      <c r="A254" s="42" t="str">
        <f t="array" ref="A254">IFERROR(INDEX('Agenda 2026'!A$2:A$376,MATCH(ROWS($A$7:$A254),'Agenda 2026'!$N$2:$N$376,0)),"")</f>
        <v/>
      </c>
      <c r="B254" s="43" t="str">
        <f t="array" ref="B254">IFERROR(INDEX('Agenda 2026'!P$2:P$376,MATCH(ROWS($A$7:$A254),'Agenda 2026'!$N$2:$N$376,0)),"")</f>
        <v/>
      </c>
      <c r="C254" s="44" t="str">
        <f t="array" ref="C254">IFERROR(INDEX('Agenda 2026'!B$2:B$376,MATCH(ROWS($A$7:$A254),'Agenda 2026'!$N$2:$N$376,0)),"")</f>
        <v/>
      </c>
      <c r="D254" s="44" t="str">
        <f t="array" ref="D254">IFERROR(INDEX('Agenda 2026'!C$2:C$376,MATCH(ROWS($A$7:$A254),'Agenda 2026'!$N$2:$N$376,0)),"")</f>
        <v/>
      </c>
      <c r="E254" s="44" t="str">
        <f t="array" ref="E254">IFERROR(INDEX('Agenda 2026'!D$2:D$376,MATCH(ROWS($A$7:$A254),'Agenda 2026'!$N$2:$N$376,0)),"")</f>
        <v/>
      </c>
      <c r="F254" s="45" t="str">
        <f t="array" ref="F254">IFERROR(INDEX('Agenda 2026'!E$2:E$376,MATCH(ROWS($A$7:$A254),'Agenda 2026'!$N$2:$N$376,0)),"")</f>
        <v/>
      </c>
      <c r="G254" s="44" t="str">
        <f t="array" ref="G254">IFERROR(INDEX('Agenda 2026'!F$2:F$376,MATCH(ROWS($A$7:$A254),'Agenda 2026'!$N$2:$N$376,0)),"")</f>
        <v/>
      </c>
      <c r="H254" s="44" t="str">
        <f t="array" ref="H254">IFERROR(INDEX('Agenda 2026'!G$2:G$376,MATCH(ROWS($A$7:$A254),'Agenda 2026'!$N$2:$N$376,0)),"")</f>
        <v/>
      </c>
      <c r="I254" s="46" t="str">
        <f t="array" ref="I254">IFERROR(INDEX('Agenda 2026'!H$2:H$376,MATCH(ROWS($A$7:$A254),'Agenda 2026'!$N$2:$N$376,0)),"")</f>
        <v/>
      </c>
      <c r="J254" s="47"/>
      <c r="K254" s="48" t="str">
        <f t="array" ref="K254">IFERROR(HYPERLINK(INDEX('Agenda 2026'!J$2:J$376,MATCH(ROWS($A$7:$A254),'Agenda 2026'!$N$2:$N$376,0)),"Ver fuente ↗"),"")</f>
        <v/>
      </c>
      <c r="L254" s="49" t="str">
        <f t="array" ref="L254">IFERROR(INDEX('Agenda 2026'!K$2:K$376,MATCH(ROWS($A$7:$A254),'Agenda 2026'!$N$2:$N$376,0)),"")</f>
        <v/>
      </c>
      <c r="M254" s="50" t="str">
        <f t="array" ref="M254">IFERROR(INDEX('Agenda 2026'!O$2:O$376,MATCH(ROWS($A$7:$A254),'Agenda 2026'!$N$2:$N$376,0)),"")</f>
        <v/>
      </c>
    </row>
    <row r="255" spans="1:13" ht="42" customHeight="1" x14ac:dyDescent="0.35">
      <c r="A255" s="42" t="str">
        <f t="array" ref="A255">IFERROR(INDEX('Agenda 2026'!A$2:A$376,MATCH(ROWS($A$7:$A255),'Agenda 2026'!$N$2:$N$376,0)),"")</f>
        <v/>
      </c>
      <c r="B255" s="43" t="str">
        <f t="array" ref="B255">IFERROR(INDEX('Agenda 2026'!P$2:P$376,MATCH(ROWS($A$7:$A255),'Agenda 2026'!$N$2:$N$376,0)),"")</f>
        <v/>
      </c>
      <c r="C255" s="44" t="str">
        <f t="array" ref="C255">IFERROR(INDEX('Agenda 2026'!B$2:B$376,MATCH(ROWS($A$7:$A255),'Agenda 2026'!$N$2:$N$376,0)),"")</f>
        <v/>
      </c>
      <c r="D255" s="44" t="str">
        <f t="array" ref="D255">IFERROR(INDEX('Agenda 2026'!C$2:C$376,MATCH(ROWS($A$7:$A255),'Agenda 2026'!$N$2:$N$376,0)),"")</f>
        <v/>
      </c>
      <c r="E255" s="44" t="str">
        <f t="array" ref="E255">IFERROR(INDEX('Agenda 2026'!D$2:D$376,MATCH(ROWS($A$7:$A255),'Agenda 2026'!$N$2:$N$376,0)),"")</f>
        <v/>
      </c>
      <c r="F255" s="45" t="str">
        <f t="array" ref="F255">IFERROR(INDEX('Agenda 2026'!E$2:E$376,MATCH(ROWS($A$7:$A255),'Agenda 2026'!$N$2:$N$376,0)),"")</f>
        <v/>
      </c>
      <c r="G255" s="44" t="str">
        <f t="array" ref="G255">IFERROR(INDEX('Agenda 2026'!F$2:F$376,MATCH(ROWS($A$7:$A255),'Agenda 2026'!$N$2:$N$376,0)),"")</f>
        <v/>
      </c>
      <c r="H255" s="44" t="str">
        <f t="array" ref="H255">IFERROR(INDEX('Agenda 2026'!G$2:G$376,MATCH(ROWS($A$7:$A255),'Agenda 2026'!$N$2:$N$376,0)),"")</f>
        <v/>
      </c>
      <c r="I255" s="46" t="str">
        <f t="array" ref="I255">IFERROR(INDEX('Agenda 2026'!H$2:H$376,MATCH(ROWS($A$7:$A255),'Agenda 2026'!$N$2:$N$376,0)),"")</f>
        <v/>
      </c>
      <c r="J255" s="47"/>
      <c r="K255" s="48" t="str">
        <f t="array" ref="K255">IFERROR(HYPERLINK(INDEX('Agenda 2026'!J$2:J$376,MATCH(ROWS($A$7:$A255),'Agenda 2026'!$N$2:$N$376,0)),"Ver fuente ↗"),"")</f>
        <v/>
      </c>
      <c r="L255" s="49" t="str">
        <f t="array" ref="L255">IFERROR(INDEX('Agenda 2026'!K$2:K$376,MATCH(ROWS($A$7:$A255),'Agenda 2026'!$N$2:$N$376,0)),"")</f>
        <v/>
      </c>
      <c r="M255" s="50" t="str">
        <f t="array" ref="M255">IFERROR(INDEX('Agenda 2026'!O$2:O$376,MATCH(ROWS($A$7:$A255),'Agenda 2026'!$N$2:$N$376,0)),"")</f>
        <v/>
      </c>
    </row>
    <row r="256" spans="1:13" ht="42" customHeight="1" x14ac:dyDescent="0.35">
      <c r="A256" s="42" t="str">
        <f t="array" ref="A256">IFERROR(INDEX('Agenda 2026'!A$2:A$376,MATCH(ROWS($A$7:$A256),'Agenda 2026'!$N$2:$N$376,0)),"")</f>
        <v/>
      </c>
      <c r="B256" s="43" t="str">
        <f t="array" ref="B256">IFERROR(INDEX('Agenda 2026'!P$2:P$376,MATCH(ROWS($A$7:$A256),'Agenda 2026'!$N$2:$N$376,0)),"")</f>
        <v/>
      </c>
      <c r="C256" s="44" t="str">
        <f t="array" ref="C256">IFERROR(INDEX('Agenda 2026'!B$2:B$376,MATCH(ROWS($A$7:$A256),'Agenda 2026'!$N$2:$N$376,0)),"")</f>
        <v/>
      </c>
      <c r="D256" s="44" t="str">
        <f t="array" ref="D256">IFERROR(INDEX('Agenda 2026'!C$2:C$376,MATCH(ROWS($A$7:$A256),'Agenda 2026'!$N$2:$N$376,0)),"")</f>
        <v/>
      </c>
      <c r="E256" s="44" t="str">
        <f t="array" ref="E256">IFERROR(INDEX('Agenda 2026'!D$2:D$376,MATCH(ROWS($A$7:$A256),'Agenda 2026'!$N$2:$N$376,0)),"")</f>
        <v/>
      </c>
      <c r="F256" s="45" t="str">
        <f t="array" ref="F256">IFERROR(INDEX('Agenda 2026'!E$2:E$376,MATCH(ROWS($A$7:$A256),'Agenda 2026'!$N$2:$N$376,0)),"")</f>
        <v/>
      </c>
      <c r="G256" s="44" t="str">
        <f t="array" ref="G256">IFERROR(INDEX('Agenda 2026'!F$2:F$376,MATCH(ROWS($A$7:$A256),'Agenda 2026'!$N$2:$N$376,0)),"")</f>
        <v/>
      </c>
      <c r="H256" s="44" t="str">
        <f t="array" ref="H256">IFERROR(INDEX('Agenda 2026'!G$2:G$376,MATCH(ROWS($A$7:$A256),'Agenda 2026'!$N$2:$N$376,0)),"")</f>
        <v/>
      </c>
      <c r="I256" s="46" t="str">
        <f t="array" ref="I256">IFERROR(INDEX('Agenda 2026'!H$2:H$376,MATCH(ROWS($A$7:$A256),'Agenda 2026'!$N$2:$N$376,0)),"")</f>
        <v/>
      </c>
      <c r="J256" s="47"/>
      <c r="K256" s="48" t="str">
        <f t="array" ref="K256">IFERROR(HYPERLINK(INDEX('Agenda 2026'!J$2:J$376,MATCH(ROWS($A$7:$A256),'Agenda 2026'!$N$2:$N$376,0)),"Ver fuente ↗"),"")</f>
        <v/>
      </c>
      <c r="L256" s="49" t="str">
        <f t="array" ref="L256">IFERROR(INDEX('Agenda 2026'!K$2:K$376,MATCH(ROWS($A$7:$A256),'Agenda 2026'!$N$2:$N$376,0)),"")</f>
        <v/>
      </c>
      <c r="M256" s="50" t="str">
        <f t="array" ref="M256">IFERROR(INDEX('Agenda 2026'!O$2:O$376,MATCH(ROWS($A$7:$A256),'Agenda 2026'!$N$2:$N$376,0)),"")</f>
        <v/>
      </c>
    </row>
    <row r="257" spans="1:13" ht="42" customHeight="1" x14ac:dyDescent="0.35">
      <c r="A257" s="42" t="str">
        <f t="array" ref="A257">IFERROR(INDEX('Agenda 2026'!A$2:A$376,MATCH(ROWS($A$7:$A257),'Agenda 2026'!$N$2:$N$376,0)),"")</f>
        <v/>
      </c>
      <c r="B257" s="43" t="str">
        <f t="array" ref="B257">IFERROR(INDEX('Agenda 2026'!P$2:P$376,MATCH(ROWS($A$7:$A257),'Agenda 2026'!$N$2:$N$376,0)),"")</f>
        <v/>
      </c>
      <c r="C257" s="44" t="str">
        <f t="array" ref="C257">IFERROR(INDEX('Agenda 2026'!B$2:B$376,MATCH(ROWS($A$7:$A257),'Agenda 2026'!$N$2:$N$376,0)),"")</f>
        <v/>
      </c>
      <c r="D257" s="44" t="str">
        <f t="array" ref="D257">IFERROR(INDEX('Agenda 2026'!C$2:C$376,MATCH(ROWS($A$7:$A257),'Agenda 2026'!$N$2:$N$376,0)),"")</f>
        <v/>
      </c>
      <c r="E257" s="44" t="str">
        <f t="array" ref="E257">IFERROR(INDEX('Agenda 2026'!D$2:D$376,MATCH(ROWS($A$7:$A257),'Agenda 2026'!$N$2:$N$376,0)),"")</f>
        <v/>
      </c>
      <c r="F257" s="45" t="str">
        <f t="array" ref="F257">IFERROR(INDEX('Agenda 2026'!E$2:E$376,MATCH(ROWS($A$7:$A257),'Agenda 2026'!$N$2:$N$376,0)),"")</f>
        <v/>
      </c>
      <c r="G257" s="44" t="str">
        <f t="array" ref="G257">IFERROR(INDEX('Agenda 2026'!F$2:F$376,MATCH(ROWS($A$7:$A257),'Agenda 2026'!$N$2:$N$376,0)),"")</f>
        <v/>
      </c>
      <c r="H257" s="44" t="str">
        <f t="array" ref="H257">IFERROR(INDEX('Agenda 2026'!G$2:G$376,MATCH(ROWS($A$7:$A257),'Agenda 2026'!$N$2:$N$376,0)),"")</f>
        <v/>
      </c>
      <c r="I257" s="46" t="str">
        <f t="array" ref="I257">IFERROR(INDEX('Agenda 2026'!H$2:H$376,MATCH(ROWS($A$7:$A257),'Agenda 2026'!$N$2:$N$376,0)),"")</f>
        <v/>
      </c>
      <c r="J257" s="47"/>
      <c r="K257" s="48" t="str">
        <f t="array" ref="K257">IFERROR(HYPERLINK(INDEX('Agenda 2026'!J$2:J$376,MATCH(ROWS($A$7:$A257),'Agenda 2026'!$N$2:$N$376,0)),"Ver fuente ↗"),"")</f>
        <v/>
      </c>
      <c r="L257" s="49" t="str">
        <f t="array" ref="L257">IFERROR(INDEX('Agenda 2026'!K$2:K$376,MATCH(ROWS($A$7:$A257),'Agenda 2026'!$N$2:$N$376,0)),"")</f>
        <v/>
      </c>
      <c r="M257" s="50" t="str">
        <f t="array" ref="M257">IFERROR(INDEX('Agenda 2026'!O$2:O$376,MATCH(ROWS($A$7:$A257),'Agenda 2026'!$N$2:$N$376,0)),"")</f>
        <v/>
      </c>
    </row>
    <row r="258" spans="1:13" ht="42" customHeight="1" x14ac:dyDescent="0.35">
      <c r="A258" s="42" t="str">
        <f t="array" ref="A258">IFERROR(INDEX('Agenda 2026'!A$2:A$376,MATCH(ROWS($A$7:$A258),'Agenda 2026'!$N$2:$N$376,0)),"")</f>
        <v/>
      </c>
      <c r="B258" s="43" t="str">
        <f t="array" ref="B258">IFERROR(INDEX('Agenda 2026'!P$2:P$376,MATCH(ROWS($A$7:$A258),'Agenda 2026'!$N$2:$N$376,0)),"")</f>
        <v/>
      </c>
      <c r="C258" s="44" t="str">
        <f t="array" ref="C258">IFERROR(INDEX('Agenda 2026'!B$2:B$376,MATCH(ROWS($A$7:$A258),'Agenda 2026'!$N$2:$N$376,0)),"")</f>
        <v/>
      </c>
      <c r="D258" s="44" t="str">
        <f t="array" ref="D258">IFERROR(INDEX('Agenda 2026'!C$2:C$376,MATCH(ROWS($A$7:$A258),'Agenda 2026'!$N$2:$N$376,0)),"")</f>
        <v/>
      </c>
      <c r="E258" s="44" t="str">
        <f t="array" ref="E258">IFERROR(INDEX('Agenda 2026'!D$2:D$376,MATCH(ROWS($A$7:$A258),'Agenda 2026'!$N$2:$N$376,0)),"")</f>
        <v/>
      </c>
      <c r="F258" s="45" t="str">
        <f t="array" ref="F258">IFERROR(INDEX('Agenda 2026'!E$2:E$376,MATCH(ROWS($A$7:$A258),'Agenda 2026'!$N$2:$N$376,0)),"")</f>
        <v/>
      </c>
      <c r="G258" s="44" t="str">
        <f t="array" ref="G258">IFERROR(INDEX('Agenda 2026'!F$2:F$376,MATCH(ROWS($A$7:$A258),'Agenda 2026'!$N$2:$N$376,0)),"")</f>
        <v/>
      </c>
      <c r="H258" s="44" t="str">
        <f t="array" ref="H258">IFERROR(INDEX('Agenda 2026'!G$2:G$376,MATCH(ROWS($A$7:$A258),'Agenda 2026'!$N$2:$N$376,0)),"")</f>
        <v/>
      </c>
      <c r="I258" s="46" t="str">
        <f t="array" ref="I258">IFERROR(INDEX('Agenda 2026'!H$2:H$376,MATCH(ROWS($A$7:$A258),'Agenda 2026'!$N$2:$N$376,0)),"")</f>
        <v/>
      </c>
      <c r="J258" s="47"/>
      <c r="K258" s="48" t="str">
        <f t="array" ref="K258">IFERROR(HYPERLINK(INDEX('Agenda 2026'!J$2:J$376,MATCH(ROWS($A$7:$A258),'Agenda 2026'!$N$2:$N$376,0)),"Ver fuente ↗"),"")</f>
        <v/>
      </c>
      <c r="L258" s="49" t="str">
        <f t="array" ref="L258">IFERROR(INDEX('Agenda 2026'!K$2:K$376,MATCH(ROWS($A$7:$A258),'Agenda 2026'!$N$2:$N$376,0)),"")</f>
        <v/>
      </c>
      <c r="M258" s="50" t="str">
        <f t="array" ref="M258">IFERROR(INDEX('Agenda 2026'!O$2:O$376,MATCH(ROWS($A$7:$A258),'Agenda 2026'!$N$2:$N$376,0)),"")</f>
        <v/>
      </c>
    </row>
    <row r="259" spans="1:13" ht="42" customHeight="1" x14ac:dyDescent="0.35">
      <c r="A259" s="42" t="str">
        <f t="array" ref="A259">IFERROR(INDEX('Agenda 2026'!A$2:A$376,MATCH(ROWS($A$7:$A259),'Agenda 2026'!$N$2:$N$376,0)),"")</f>
        <v/>
      </c>
      <c r="B259" s="43" t="str">
        <f t="array" ref="B259">IFERROR(INDEX('Agenda 2026'!P$2:P$376,MATCH(ROWS($A$7:$A259),'Agenda 2026'!$N$2:$N$376,0)),"")</f>
        <v/>
      </c>
      <c r="C259" s="44" t="str">
        <f t="array" ref="C259">IFERROR(INDEX('Agenda 2026'!B$2:B$376,MATCH(ROWS($A$7:$A259),'Agenda 2026'!$N$2:$N$376,0)),"")</f>
        <v/>
      </c>
      <c r="D259" s="44" t="str">
        <f t="array" ref="D259">IFERROR(INDEX('Agenda 2026'!C$2:C$376,MATCH(ROWS($A$7:$A259),'Agenda 2026'!$N$2:$N$376,0)),"")</f>
        <v/>
      </c>
      <c r="E259" s="44" t="str">
        <f t="array" ref="E259">IFERROR(INDEX('Agenda 2026'!D$2:D$376,MATCH(ROWS($A$7:$A259),'Agenda 2026'!$N$2:$N$376,0)),"")</f>
        <v/>
      </c>
      <c r="F259" s="45" t="str">
        <f t="array" ref="F259">IFERROR(INDEX('Agenda 2026'!E$2:E$376,MATCH(ROWS($A$7:$A259),'Agenda 2026'!$N$2:$N$376,0)),"")</f>
        <v/>
      </c>
      <c r="G259" s="44" t="str">
        <f t="array" ref="G259">IFERROR(INDEX('Agenda 2026'!F$2:F$376,MATCH(ROWS($A$7:$A259),'Agenda 2026'!$N$2:$N$376,0)),"")</f>
        <v/>
      </c>
      <c r="H259" s="44" t="str">
        <f t="array" ref="H259">IFERROR(INDEX('Agenda 2026'!G$2:G$376,MATCH(ROWS($A$7:$A259),'Agenda 2026'!$N$2:$N$376,0)),"")</f>
        <v/>
      </c>
      <c r="I259" s="46" t="str">
        <f t="array" ref="I259">IFERROR(INDEX('Agenda 2026'!H$2:H$376,MATCH(ROWS($A$7:$A259),'Agenda 2026'!$N$2:$N$376,0)),"")</f>
        <v/>
      </c>
      <c r="J259" s="47"/>
      <c r="K259" s="48" t="str">
        <f t="array" ref="K259">IFERROR(HYPERLINK(INDEX('Agenda 2026'!J$2:J$376,MATCH(ROWS($A$7:$A259),'Agenda 2026'!$N$2:$N$376,0)),"Ver fuente ↗"),"")</f>
        <v/>
      </c>
      <c r="L259" s="49" t="str">
        <f t="array" ref="L259">IFERROR(INDEX('Agenda 2026'!K$2:K$376,MATCH(ROWS($A$7:$A259),'Agenda 2026'!$N$2:$N$376,0)),"")</f>
        <v/>
      </c>
      <c r="M259" s="50" t="str">
        <f t="array" ref="M259">IFERROR(INDEX('Agenda 2026'!O$2:O$376,MATCH(ROWS($A$7:$A259),'Agenda 2026'!$N$2:$N$376,0)),"")</f>
        <v/>
      </c>
    </row>
    <row r="260" spans="1:13" ht="42" customHeight="1" x14ac:dyDescent="0.35">
      <c r="A260" s="42" t="str">
        <f t="array" ref="A260">IFERROR(INDEX('Agenda 2026'!A$2:A$376,MATCH(ROWS($A$7:$A260),'Agenda 2026'!$N$2:$N$376,0)),"")</f>
        <v/>
      </c>
      <c r="B260" s="43" t="str">
        <f t="array" ref="B260">IFERROR(INDEX('Agenda 2026'!P$2:P$376,MATCH(ROWS($A$7:$A260),'Agenda 2026'!$N$2:$N$376,0)),"")</f>
        <v/>
      </c>
      <c r="C260" s="44" t="str">
        <f t="array" ref="C260">IFERROR(INDEX('Agenda 2026'!B$2:B$376,MATCH(ROWS($A$7:$A260),'Agenda 2026'!$N$2:$N$376,0)),"")</f>
        <v/>
      </c>
      <c r="D260" s="44" t="str">
        <f t="array" ref="D260">IFERROR(INDEX('Agenda 2026'!C$2:C$376,MATCH(ROWS($A$7:$A260),'Agenda 2026'!$N$2:$N$376,0)),"")</f>
        <v/>
      </c>
      <c r="E260" s="44" t="str">
        <f t="array" ref="E260">IFERROR(INDEX('Agenda 2026'!D$2:D$376,MATCH(ROWS($A$7:$A260),'Agenda 2026'!$N$2:$N$376,0)),"")</f>
        <v/>
      </c>
      <c r="F260" s="45" t="str">
        <f t="array" ref="F260">IFERROR(INDEX('Agenda 2026'!E$2:E$376,MATCH(ROWS($A$7:$A260),'Agenda 2026'!$N$2:$N$376,0)),"")</f>
        <v/>
      </c>
      <c r="G260" s="44" t="str">
        <f t="array" ref="G260">IFERROR(INDEX('Agenda 2026'!F$2:F$376,MATCH(ROWS($A$7:$A260),'Agenda 2026'!$N$2:$N$376,0)),"")</f>
        <v/>
      </c>
      <c r="H260" s="44" t="str">
        <f t="array" ref="H260">IFERROR(INDEX('Agenda 2026'!G$2:G$376,MATCH(ROWS($A$7:$A260),'Agenda 2026'!$N$2:$N$376,0)),"")</f>
        <v/>
      </c>
      <c r="I260" s="46" t="str">
        <f t="array" ref="I260">IFERROR(INDEX('Agenda 2026'!H$2:H$376,MATCH(ROWS($A$7:$A260),'Agenda 2026'!$N$2:$N$376,0)),"")</f>
        <v/>
      </c>
      <c r="J260" s="47"/>
      <c r="K260" s="48" t="str">
        <f t="array" ref="K260">IFERROR(HYPERLINK(INDEX('Agenda 2026'!J$2:J$376,MATCH(ROWS($A$7:$A260),'Agenda 2026'!$N$2:$N$376,0)),"Ver fuente ↗"),"")</f>
        <v/>
      </c>
      <c r="L260" s="49" t="str">
        <f t="array" ref="L260">IFERROR(INDEX('Agenda 2026'!K$2:K$376,MATCH(ROWS($A$7:$A260),'Agenda 2026'!$N$2:$N$376,0)),"")</f>
        <v/>
      </c>
      <c r="M260" s="50" t="str">
        <f t="array" ref="M260">IFERROR(INDEX('Agenda 2026'!O$2:O$376,MATCH(ROWS($A$7:$A260),'Agenda 2026'!$N$2:$N$376,0)),"")</f>
        <v/>
      </c>
    </row>
    <row r="261" spans="1:13" ht="42" customHeight="1" x14ac:dyDescent="0.35">
      <c r="A261" s="42" t="str">
        <f t="array" ref="A261">IFERROR(INDEX('Agenda 2026'!A$2:A$376,MATCH(ROWS($A$7:$A261),'Agenda 2026'!$N$2:$N$376,0)),"")</f>
        <v/>
      </c>
      <c r="B261" s="43" t="str">
        <f t="array" ref="B261">IFERROR(INDEX('Agenda 2026'!P$2:P$376,MATCH(ROWS($A$7:$A261),'Agenda 2026'!$N$2:$N$376,0)),"")</f>
        <v/>
      </c>
      <c r="C261" s="44" t="str">
        <f t="array" ref="C261">IFERROR(INDEX('Agenda 2026'!B$2:B$376,MATCH(ROWS($A$7:$A261),'Agenda 2026'!$N$2:$N$376,0)),"")</f>
        <v/>
      </c>
      <c r="D261" s="44" t="str">
        <f t="array" ref="D261">IFERROR(INDEX('Agenda 2026'!C$2:C$376,MATCH(ROWS($A$7:$A261),'Agenda 2026'!$N$2:$N$376,0)),"")</f>
        <v/>
      </c>
      <c r="E261" s="44" t="str">
        <f t="array" ref="E261">IFERROR(INDEX('Agenda 2026'!D$2:D$376,MATCH(ROWS($A$7:$A261),'Agenda 2026'!$N$2:$N$376,0)),"")</f>
        <v/>
      </c>
      <c r="F261" s="45" t="str">
        <f t="array" ref="F261">IFERROR(INDEX('Agenda 2026'!E$2:E$376,MATCH(ROWS($A$7:$A261),'Agenda 2026'!$N$2:$N$376,0)),"")</f>
        <v/>
      </c>
      <c r="G261" s="44" t="str">
        <f t="array" ref="G261">IFERROR(INDEX('Agenda 2026'!F$2:F$376,MATCH(ROWS($A$7:$A261),'Agenda 2026'!$N$2:$N$376,0)),"")</f>
        <v/>
      </c>
      <c r="H261" s="44" t="str">
        <f t="array" ref="H261">IFERROR(INDEX('Agenda 2026'!G$2:G$376,MATCH(ROWS($A$7:$A261),'Agenda 2026'!$N$2:$N$376,0)),"")</f>
        <v/>
      </c>
      <c r="I261" s="46" t="str">
        <f t="array" ref="I261">IFERROR(INDEX('Agenda 2026'!H$2:H$376,MATCH(ROWS($A$7:$A261),'Agenda 2026'!$N$2:$N$376,0)),"")</f>
        <v/>
      </c>
      <c r="J261" s="47"/>
      <c r="K261" s="48" t="str">
        <f t="array" ref="K261">IFERROR(HYPERLINK(INDEX('Agenda 2026'!J$2:J$376,MATCH(ROWS($A$7:$A261),'Agenda 2026'!$N$2:$N$376,0)),"Ver fuente ↗"),"")</f>
        <v/>
      </c>
      <c r="L261" s="49" t="str">
        <f t="array" ref="L261">IFERROR(INDEX('Agenda 2026'!K$2:K$376,MATCH(ROWS($A$7:$A261),'Agenda 2026'!$N$2:$N$376,0)),"")</f>
        <v/>
      </c>
      <c r="M261" s="50" t="str">
        <f t="array" ref="M261">IFERROR(INDEX('Agenda 2026'!O$2:O$376,MATCH(ROWS($A$7:$A261),'Agenda 2026'!$N$2:$N$376,0)),"")</f>
        <v/>
      </c>
    </row>
    <row r="262" spans="1:13" ht="42" customHeight="1" x14ac:dyDescent="0.35">
      <c r="A262" s="42" t="str">
        <f t="array" ref="A262">IFERROR(INDEX('Agenda 2026'!A$2:A$376,MATCH(ROWS($A$7:$A262),'Agenda 2026'!$N$2:$N$376,0)),"")</f>
        <v/>
      </c>
      <c r="B262" s="43" t="str">
        <f t="array" ref="B262">IFERROR(INDEX('Agenda 2026'!P$2:P$376,MATCH(ROWS($A$7:$A262),'Agenda 2026'!$N$2:$N$376,0)),"")</f>
        <v/>
      </c>
      <c r="C262" s="44" t="str">
        <f t="array" ref="C262">IFERROR(INDEX('Agenda 2026'!B$2:B$376,MATCH(ROWS($A$7:$A262),'Agenda 2026'!$N$2:$N$376,0)),"")</f>
        <v/>
      </c>
      <c r="D262" s="44" t="str">
        <f t="array" ref="D262">IFERROR(INDEX('Agenda 2026'!C$2:C$376,MATCH(ROWS($A$7:$A262),'Agenda 2026'!$N$2:$N$376,0)),"")</f>
        <v/>
      </c>
      <c r="E262" s="44" t="str">
        <f t="array" ref="E262">IFERROR(INDEX('Agenda 2026'!D$2:D$376,MATCH(ROWS($A$7:$A262),'Agenda 2026'!$N$2:$N$376,0)),"")</f>
        <v/>
      </c>
      <c r="F262" s="45" t="str">
        <f t="array" ref="F262">IFERROR(INDEX('Agenda 2026'!E$2:E$376,MATCH(ROWS($A$7:$A262),'Agenda 2026'!$N$2:$N$376,0)),"")</f>
        <v/>
      </c>
      <c r="G262" s="44" t="str">
        <f t="array" ref="G262">IFERROR(INDEX('Agenda 2026'!F$2:F$376,MATCH(ROWS($A$7:$A262),'Agenda 2026'!$N$2:$N$376,0)),"")</f>
        <v/>
      </c>
      <c r="H262" s="44" t="str">
        <f t="array" ref="H262">IFERROR(INDEX('Agenda 2026'!G$2:G$376,MATCH(ROWS($A$7:$A262),'Agenda 2026'!$N$2:$N$376,0)),"")</f>
        <v/>
      </c>
      <c r="I262" s="46" t="str">
        <f t="array" ref="I262">IFERROR(INDEX('Agenda 2026'!H$2:H$376,MATCH(ROWS($A$7:$A262),'Agenda 2026'!$N$2:$N$376,0)),"")</f>
        <v/>
      </c>
      <c r="J262" s="47"/>
      <c r="K262" s="48" t="str">
        <f t="array" ref="K262">IFERROR(HYPERLINK(INDEX('Agenda 2026'!J$2:J$376,MATCH(ROWS($A$7:$A262),'Agenda 2026'!$N$2:$N$376,0)),"Ver fuente ↗"),"")</f>
        <v/>
      </c>
      <c r="L262" s="49" t="str">
        <f t="array" ref="L262">IFERROR(INDEX('Agenda 2026'!K$2:K$376,MATCH(ROWS($A$7:$A262),'Agenda 2026'!$N$2:$N$376,0)),"")</f>
        <v/>
      </c>
      <c r="M262" s="50" t="str">
        <f t="array" ref="M262">IFERROR(INDEX('Agenda 2026'!O$2:O$376,MATCH(ROWS($A$7:$A262),'Agenda 2026'!$N$2:$N$376,0)),"")</f>
        <v/>
      </c>
    </row>
    <row r="263" spans="1:13" ht="42" customHeight="1" x14ac:dyDescent="0.35">
      <c r="A263" s="42" t="str">
        <f t="array" ref="A263">IFERROR(INDEX('Agenda 2026'!A$2:A$376,MATCH(ROWS($A$7:$A263),'Agenda 2026'!$N$2:$N$376,0)),"")</f>
        <v/>
      </c>
      <c r="B263" s="43" t="str">
        <f t="array" ref="B263">IFERROR(INDEX('Agenda 2026'!P$2:P$376,MATCH(ROWS($A$7:$A263),'Agenda 2026'!$N$2:$N$376,0)),"")</f>
        <v/>
      </c>
      <c r="C263" s="44" t="str">
        <f t="array" ref="C263">IFERROR(INDEX('Agenda 2026'!B$2:B$376,MATCH(ROWS($A$7:$A263),'Agenda 2026'!$N$2:$N$376,0)),"")</f>
        <v/>
      </c>
      <c r="D263" s="44" t="str">
        <f t="array" ref="D263">IFERROR(INDEX('Agenda 2026'!C$2:C$376,MATCH(ROWS($A$7:$A263),'Agenda 2026'!$N$2:$N$376,0)),"")</f>
        <v/>
      </c>
      <c r="E263" s="44" t="str">
        <f t="array" ref="E263">IFERROR(INDEX('Agenda 2026'!D$2:D$376,MATCH(ROWS($A$7:$A263),'Agenda 2026'!$N$2:$N$376,0)),"")</f>
        <v/>
      </c>
      <c r="F263" s="45" t="str">
        <f t="array" ref="F263">IFERROR(INDEX('Agenda 2026'!E$2:E$376,MATCH(ROWS($A$7:$A263),'Agenda 2026'!$N$2:$N$376,0)),"")</f>
        <v/>
      </c>
      <c r="G263" s="44" t="str">
        <f t="array" ref="G263">IFERROR(INDEX('Agenda 2026'!F$2:F$376,MATCH(ROWS($A$7:$A263),'Agenda 2026'!$N$2:$N$376,0)),"")</f>
        <v/>
      </c>
      <c r="H263" s="44" t="str">
        <f t="array" ref="H263">IFERROR(INDEX('Agenda 2026'!G$2:G$376,MATCH(ROWS($A$7:$A263),'Agenda 2026'!$N$2:$N$376,0)),"")</f>
        <v/>
      </c>
      <c r="I263" s="46" t="str">
        <f t="array" ref="I263">IFERROR(INDEX('Agenda 2026'!H$2:H$376,MATCH(ROWS($A$7:$A263),'Agenda 2026'!$N$2:$N$376,0)),"")</f>
        <v/>
      </c>
      <c r="J263" s="47"/>
      <c r="K263" s="48" t="str">
        <f t="array" ref="K263">IFERROR(HYPERLINK(INDEX('Agenda 2026'!J$2:J$376,MATCH(ROWS($A$7:$A263),'Agenda 2026'!$N$2:$N$376,0)),"Ver fuente ↗"),"")</f>
        <v/>
      </c>
      <c r="L263" s="49" t="str">
        <f t="array" ref="L263">IFERROR(INDEX('Agenda 2026'!K$2:K$376,MATCH(ROWS($A$7:$A263),'Agenda 2026'!$N$2:$N$376,0)),"")</f>
        <v/>
      </c>
      <c r="M263" s="50" t="str">
        <f t="array" ref="M263">IFERROR(INDEX('Agenda 2026'!O$2:O$376,MATCH(ROWS($A$7:$A263),'Agenda 2026'!$N$2:$N$376,0)),"")</f>
        <v/>
      </c>
    </row>
    <row r="264" spans="1:13" ht="42" customHeight="1" x14ac:dyDescent="0.35">
      <c r="A264" s="42" t="str">
        <f t="array" ref="A264">IFERROR(INDEX('Agenda 2026'!A$2:A$376,MATCH(ROWS($A$7:$A264),'Agenda 2026'!$N$2:$N$376,0)),"")</f>
        <v/>
      </c>
      <c r="B264" s="43" t="str">
        <f t="array" ref="B264">IFERROR(INDEX('Agenda 2026'!P$2:P$376,MATCH(ROWS($A$7:$A264),'Agenda 2026'!$N$2:$N$376,0)),"")</f>
        <v/>
      </c>
      <c r="C264" s="44" t="str">
        <f t="array" ref="C264">IFERROR(INDEX('Agenda 2026'!B$2:B$376,MATCH(ROWS($A$7:$A264),'Agenda 2026'!$N$2:$N$376,0)),"")</f>
        <v/>
      </c>
      <c r="D264" s="44" t="str">
        <f t="array" ref="D264">IFERROR(INDEX('Agenda 2026'!C$2:C$376,MATCH(ROWS($A$7:$A264),'Agenda 2026'!$N$2:$N$376,0)),"")</f>
        <v/>
      </c>
      <c r="E264" s="44" t="str">
        <f t="array" ref="E264">IFERROR(INDEX('Agenda 2026'!D$2:D$376,MATCH(ROWS($A$7:$A264),'Agenda 2026'!$N$2:$N$376,0)),"")</f>
        <v/>
      </c>
      <c r="F264" s="45" t="str">
        <f t="array" ref="F264">IFERROR(INDEX('Agenda 2026'!E$2:E$376,MATCH(ROWS($A$7:$A264),'Agenda 2026'!$N$2:$N$376,0)),"")</f>
        <v/>
      </c>
      <c r="G264" s="44" t="str">
        <f t="array" ref="G264">IFERROR(INDEX('Agenda 2026'!F$2:F$376,MATCH(ROWS($A$7:$A264),'Agenda 2026'!$N$2:$N$376,0)),"")</f>
        <v/>
      </c>
      <c r="H264" s="44" t="str">
        <f t="array" ref="H264">IFERROR(INDEX('Agenda 2026'!G$2:G$376,MATCH(ROWS($A$7:$A264),'Agenda 2026'!$N$2:$N$376,0)),"")</f>
        <v/>
      </c>
      <c r="I264" s="46" t="str">
        <f t="array" ref="I264">IFERROR(INDEX('Agenda 2026'!H$2:H$376,MATCH(ROWS($A$7:$A264),'Agenda 2026'!$N$2:$N$376,0)),"")</f>
        <v/>
      </c>
      <c r="J264" s="47"/>
      <c r="K264" s="48" t="str">
        <f t="array" ref="K264">IFERROR(HYPERLINK(INDEX('Agenda 2026'!J$2:J$376,MATCH(ROWS($A$7:$A264),'Agenda 2026'!$N$2:$N$376,0)),"Ver fuente ↗"),"")</f>
        <v/>
      </c>
      <c r="L264" s="49" t="str">
        <f t="array" ref="L264">IFERROR(INDEX('Agenda 2026'!K$2:K$376,MATCH(ROWS($A$7:$A264),'Agenda 2026'!$N$2:$N$376,0)),"")</f>
        <v/>
      </c>
      <c r="M264" s="50" t="str">
        <f t="array" ref="M264">IFERROR(INDEX('Agenda 2026'!O$2:O$376,MATCH(ROWS($A$7:$A264),'Agenda 2026'!$N$2:$N$376,0)),"")</f>
        <v/>
      </c>
    </row>
    <row r="265" spans="1:13" ht="42" customHeight="1" x14ac:dyDescent="0.35">
      <c r="A265" s="42" t="str">
        <f t="array" ref="A265">IFERROR(INDEX('Agenda 2026'!A$2:A$376,MATCH(ROWS($A$7:$A265),'Agenda 2026'!$N$2:$N$376,0)),"")</f>
        <v/>
      </c>
      <c r="B265" s="43" t="str">
        <f t="array" ref="B265">IFERROR(INDEX('Agenda 2026'!P$2:P$376,MATCH(ROWS($A$7:$A265),'Agenda 2026'!$N$2:$N$376,0)),"")</f>
        <v/>
      </c>
      <c r="C265" s="44" t="str">
        <f t="array" ref="C265">IFERROR(INDEX('Agenda 2026'!B$2:B$376,MATCH(ROWS($A$7:$A265),'Agenda 2026'!$N$2:$N$376,0)),"")</f>
        <v/>
      </c>
      <c r="D265" s="44" t="str">
        <f t="array" ref="D265">IFERROR(INDEX('Agenda 2026'!C$2:C$376,MATCH(ROWS($A$7:$A265),'Agenda 2026'!$N$2:$N$376,0)),"")</f>
        <v/>
      </c>
      <c r="E265" s="44" t="str">
        <f t="array" ref="E265">IFERROR(INDEX('Agenda 2026'!D$2:D$376,MATCH(ROWS($A$7:$A265),'Agenda 2026'!$N$2:$N$376,0)),"")</f>
        <v/>
      </c>
      <c r="F265" s="45" t="str">
        <f t="array" ref="F265">IFERROR(INDEX('Agenda 2026'!E$2:E$376,MATCH(ROWS($A$7:$A265),'Agenda 2026'!$N$2:$N$376,0)),"")</f>
        <v/>
      </c>
      <c r="G265" s="44" t="str">
        <f t="array" ref="G265">IFERROR(INDEX('Agenda 2026'!F$2:F$376,MATCH(ROWS($A$7:$A265),'Agenda 2026'!$N$2:$N$376,0)),"")</f>
        <v/>
      </c>
      <c r="H265" s="44" t="str">
        <f t="array" ref="H265">IFERROR(INDEX('Agenda 2026'!G$2:G$376,MATCH(ROWS($A$7:$A265),'Agenda 2026'!$N$2:$N$376,0)),"")</f>
        <v/>
      </c>
      <c r="I265" s="46" t="str">
        <f t="array" ref="I265">IFERROR(INDEX('Agenda 2026'!H$2:H$376,MATCH(ROWS($A$7:$A265),'Agenda 2026'!$N$2:$N$376,0)),"")</f>
        <v/>
      </c>
      <c r="J265" s="47"/>
      <c r="K265" s="48" t="str">
        <f t="array" ref="K265">IFERROR(HYPERLINK(INDEX('Agenda 2026'!J$2:J$376,MATCH(ROWS($A$7:$A265),'Agenda 2026'!$N$2:$N$376,0)),"Ver fuente ↗"),"")</f>
        <v/>
      </c>
      <c r="L265" s="49" t="str">
        <f t="array" ref="L265">IFERROR(INDEX('Agenda 2026'!K$2:K$376,MATCH(ROWS($A$7:$A265),'Agenda 2026'!$N$2:$N$376,0)),"")</f>
        <v/>
      </c>
      <c r="M265" s="50" t="str">
        <f t="array" ref="M265">IFERROR(INDEX('Agenda 2026'!O$2:O$376,MATCH(ROWS($A$7:$A265),'Agenda 2026'!$N$2:$N$376,0)),"")</f>
        <v/>
      </c>
    </row>
    <row r="266" spans="1:13" ht="42" customHeight="1" x14ac:dyDescent="0.35">
      <c r="A266" s="42" t="str">
        <f t="array" ref="A266">IFERROR(INDEX('Agenda 2026'!A$2:A$376,MATCH(ROWS($A$7:$A266),'Agenda 2026'!$N$2:$N$376,0)),"")</f>
        <v/>
      </c>
      <c r="B266" s="43" t="str">
        <f t="array" ref="B266">IFERROR(INDEX('Agenda 2026'!P$2:P$376,MATCH(ROWS($A$7:$A266),'Agenda 2026'!$N$2:$N$376,0)),"")</f>
        <v/>
      </c>
      <c r="C266" s="44" t="str">
        <f t="array" ref="C266">IFERROR(INDEX('Agenda 2026'!B$2:B$376,MATCH(ROWS($A$7:$A266),'Agenda 2026'!$N$2:$N$376,0)),"")</f>
        <v/>
      </c>
      <c r="D266" s="44" t="str">
        <f t="array" ref="D266">IFERROR(INDEX('Agenda 2026'!C$2:C$376,MATCH(ROWS($A$7:$A266),'Agenda 2026'!$N$2:$N$376,0)),"")</f>
        <v/>
      </c>
      <c r="E266" s="44" t="str">
        <f t="array" ref="E266">IFERROR(INDEX('Agenda 2026'!D$2:D$376,MATCH(ROWS($A$7:$A266),'Agenda 2026'!$N$2:$N$376,0)),"")</f>
        <v/>
      </c>
      <c r="F266" s="45" t="str">
        <f t="array" ref="F266">IFERROR(INDEX('Agenda 2026'!E$2:E$376,MATCH(ROWS($A$7:$A266),'Agenda 2026'!$N$2:$N$376,0)),"")</f>
        <v/>
      </c>
      <c r="G266" s="44" t="str">
        <f t="array" ref="G266">IFERROR(INDEX('Agenda 2026'!F$2:F$376,MATCH(ROWS($A$7:$A266),'Agenda 2026'!$N$2:$N$376,0)),"")</f>
        <v/>
      </c>
      <c r="H266" s="44" t="str">
        <f t="array" ref="H266">IFERROR(INDEX('Agenda 2026'!G$2:G$376,MATCH(ROWS($A$7:$A266),'Agenda 2026'!$N$2:$N$376,0)),"")</f>
        <v/>
      </c>
      <c r="I266" s="46" t="str">
        <f t="array" ref="I266">IFERROR(INDEX('Agenda 2026'!H$2:H$376,MATCH(ROWS($A$7:$A266),'Agenda 2026'!$N$2:$N$376,0)),"")</f>
        <v/>
      </c>
      <c r="J266" s="47"/>
      <c r="K266" s="48" t="str">
        <f t="array" ref="K266">IFERROR(HYPERLINK(INDEX('Agenda 2026'!J$2:J$376,MATCH(ROWS($A$7:$A266),'Agenda 2026'!$N$2:$N$376,0)),"Ver fuente ↗"),"")</f>
        <v/>
      </c>
      <c r="L266" s="49" t="str">
        <f t="array" ref="L266">IFERROR(INDEX('Agenda 2026'!K$2:K$376,MATCH(ROWS($A$7:$A266),'Agenda 2026'!$N$2:$N$376,0)),"")</f>
        <v/>
      </c>
      <c r="M266" s="50" t="str">
        <f t="array" ref="M266">IFERROR(INDEX('Agenda 2026'!O$2:O$376,MATCH(ROWS($A$7:$A266),'Agenda 2026'!$N$2:$N$376,0)),"")</f>
        <v/>
      </c>
    </row>
    <row r="267" spans="1:13" ht="42" customHeight="1" x14ac:dyDescent="0.35">
      <c r="A267" s="42" t="str">
        <f t="array" ref="A267">IFERROR(INDEX('Agenda 2026'!A$2:A$376,MATCH(ROWS($A$7:$A267),'Agenda 2026'!$N$2:$N$376,0)),"")</f>
        <v/>
      </c>
      <c r="B267" s="43" t="str">
        <f t="array" ref="B267">IFERROR(INDEX('Agenda 2026'!P$2:P$376,MATCH(ROWS($A$7:$A267),'Agenda 2026'!$N$2:$N$376,0)),"")</f>
        <v/>
      </c>
      <c r="C267" s="44" t="str">
        <f t="array" ref="C267">IFERROR(INDEX('Agenda 2026'!B$2:B$376,MATCH(ROWS($A$7:$A267),'Agenda 2026'!$N$2:$N$376,0)),"")</f>
        <v/>
      </c>
      <c r="D267" s="44" t="str">
        <f t="array" ref="D267">IFERROR(INDEX('Agenda 2026'!C$2:C$376,MATCH(ROWS($A$7:$A267),'Agenda 2026'!$N$2:$N$376,0)),"")</f>
        <v/>
      </c>
      <c r="E267" s="44" t="str">
        <f t="array" ref="E267">IFERROR(INDEX('Agenda 2026'!D$2:D$376,MATCH(ROWS($A$7:$A267),'Agenda 2026'!$N$2:$N$376,0)),"")</f>
        <v/>
      </c>
      <c r="F267" s="45" t="str">
        <f t="array" ref="F267">IFERROR(INDEX('Agenda 2026'!E$2:E$376,MATCH(ROWS($A$7:$A267),'Agenda 2026'!$N$2:$N$376,0)),"")</f>
        <v/>
      </c>
      <c r="G267" s="44" t="str">
        <f t="array" ref="G267">IFERROR(INDEX('Agenda 2026'!F$2:F$376,MATCH(ROWS($A$7:$A267),'Agenda 2026'!$N$2:$N$376,0)),"")</f>
        <v/>
      </c>
      <c r="H267" s="44" t="str">
        <f t="array" ref="H267">IFERROR(INDEX('Agenda 2026'!G$2:G$376,MATCH(ROWS($A$7:$A267),'Agenda 2026'!$N$2:$N$376,0)),"")</f>
        <v/>
      </c>
      <c r="I267" s="46" t="str">
        <f t="array" ref="I267">IFERROR(INDEX('Agenda 2026'!H$2:H$376,MATCH(ROWS($A$7:$A267),'Agenda 2026'!$N$2:$N$376,0)),"")</f>
        <v/>
      </c>
      <c r="J267" s="47"/>
      <c r="K267" s="48" t="str">
        <f t="array" ref="K267">IFERROR(HYPERLINK(INDEX('Agenda 2026'!J$2:J$376,MATCH(ROWS($A$7:$A267),'Agenda 2026'!$N$2:$N$376,0)),"Ver fuente ↗"),"")</f>
        <v/>
      </c>
      <c r="L267" s="49" t="str">
        <f t="array" ref="L267">IFERROR(INDEX('Agenda 2026'!K$2:K$376,MATCH(ROWS($A$7:$A267),'Agenda 2026'!$N$2:$N$376,0)),"")</f>
        <v/>
      </c>
      <c r="M267" s="50" t="str">
        <f t="array" ref="M267">IFERROR(INDEX('Agenda 2026'!O$2:O$376,MATCH(ROWS($A$7:$A267),'Agenda 2026'!$N$2:$N$376,0)),"")</f>
        <v/>
      </c>
    </row>
    <row r="268" spans="1:13" ht="42" customHeight="1" x14ac:dyDescent="0.35">
      <c r="A268" s="42" t="str">
        <f t="array" ref="A268">IFERROR(INDEX('Agenda 2026'!A$2:A$376,MATCH(ROWS($A$7:$A268),'Agenda 2026'!$N$2:$N$376,0)),"")</f>
        <v/>
      </c>
      <c r="B268" s="43" t="str">
        <f t="array" ref="B268">IFERROR(INDEX('Agenda 2026'!P$2:P$376,MATCH(ROWS($A$7:$A268),'Agenda 2026'!$N$2:$N$376,0)),"")</f>
        <v/>
      </c>
      <c r="C268" s="44" t="str">
        <f t="array" ref="C268">IFERROR(INDEX('Agenda 2026'!B$2:B$376,MATCH(ROWS($A$7:$A268),'Agenda 2026'!$N$2:$N$376,0)),"")</f>
        <v/>
      </c>
      <c r="D268" s="44" t="str">
        <f t="array" ref="D268">IFERROR(INDEX('Agenda 2026'!C$2:C$376,MATCH(ROWS($A$7:$A268),'Agenda 2026'!$N$2:$N$376,0)),"")</f>
        <v/>
      </c>
      <c r="E268" s="44" t="str">
        <f t="array" ref="E268">IFERROR(INDEX('Agenda 2026'!D$2:D$376,MATCH(ROWS($A$7:$A268),'Agenda 2026'!$N$2:$N$376,0)),"")</f>
        <v/>
      </c>
      <c r="F268" s="45" t="str">
        <f t="array" ref="F268">IFERROR(INDEX('Agenda 2026'!E$2:E$376,MATCH(ROWS($A$7:$A268),'Agenda 2026'!$N$2:$N$376,0)),"")</f>
        <v/>
      </c>
      <c r="G268" s="44" t="str">
        <f t="array" ref="G268">IFERROR(INDEX('Agenda 2026'!F$2:F$376,MATCH(ROWS($A$7:$A268),'Agenda 2026'!$N$2:$N$376,0)),"")</f>
        <v/>
      </c>
      <c r="H268" s="44" t="str">
        <f t="array" ref="H268">IFERROR(INDEX('Agenda 2026'!G$2:G$376,MATCH(ROWS($A$7:$A268),'Agenda 2026'!$N$2:$N$376,0)),"")</f>
        <v/>
      </c>
      <c r="I268" s="46" t="str">
        <f t="array" ref="I268">IFERROR(INDEX('Agenda 2026'!H$2:H$376,MATCH(ROWS($A$7:$A268),'Agenda 2026'!$N$2:$N$376,0)),"")</f>
        <v/>
      </c>
      <c r="J268" s="47"/>
      <c r="K268" s="48" t="str">
        <f t="array" ref="K268">IFERROR(HYPERLINK(INDEX('Agenda 2026'!J$2:J$376,MATCH(ROWS($A$7:$A268),'Agenda 2026'!$N$2:$N$376,0)),"Ver fuente ↗"),"")</f>
        <v/>
      </c>
      <c r="L268" s="49" t="str">
        <f t="array" ref="L268">IFERROR(INDEX('Agenda 2026'!K$2:K$376,MATCH(ROWS($A$7:$A268),'Agenda 2026'!$N$2:$N$376,0)),"")</f>
        <v/>
      </c>
      <c r="M268" s="50" t="str">
        <f t="array" ref="M268">IFERROR(INDEX('Agenda 2026'!O$2:O$376,MATCH(ROWS($A$7:$A268),'Agenda 2026'!$N$2:$N$376,0)),"")</f>
        <v/>
      </c>
    </row>
    <row r="269" spans="1:13" ht="42" customHeight="1" x14ac:dyDescent="0.35">
      <c r="A269" s="42" t="str">
        <f t="array" ref="A269">IFERROR(INDEX('Agenda 2026'!A$2:A$376,MATCH(ROWS($A$7:$A269),'Agenda 2026'!$N$2:$N$376,0)),"")</f>
        <v/>
      </c>
      <c r="B269" s="43" t="str">
        <f t="array" ref="B269">IFERROR(INDEX('Agenda 2026'!P$2:P$376,MATCH(ROWS($A$7:$A269),'Agenda 2026'!$N$2:$N$376,0)),"")</f>
        <v/>
      </c>
      <c r="C269" s="44" t="str">
        <f t="array" ref="C269">IFERROR(INDEX('Agenda 2026'!B$2:B$376,MATCH(ROWS($A$7:$A269),'Agenda 2026'!$N$2:$N$376,0)),"")</f>
        <v/>
      </c>
      <c r="D269" s="44" t="str">
        <f t="array" ref="D269">IFERROR(INDEX('Agenda 2026'!C$2:C$376,MATCH(ROWS($A$7:$A269),'Agenda 2026'!$N$2:$N$376,0)),"")</f>
        <v/>
      </c>
      <c r="E269" s="44" t="str">
        <f t="array" ref="E269">IFERROR(INDEX('Agenda 2026'!D$2:D$376,MATCH(ROWS($A$7:$A269),'Agenda 2026'!$N$2:$N$376,0)),"")</f>
        <v/>
      </c>
      <c r="F269" s="45" t="str">
        <f t="array" ref="F269">IFERROR(INDEX('Agenda 2026'!E$2:E$376,MATCH(ROWS($A$7:$A269),'Agenda 2026'!$N$2:$N$376,0)),"")</f>
        <v/>
      </c>
      <c r="G269" s="44" t="str">
        <f t="array" ref="G269">IFERROR(INDEX('Agenda 2026'!F$2:F$376,MATCH(ROWS($A$7:$A269),'Agenda 2026'!$N$2:$N$376,0)),"")</f>
        <v/>
      </c>
      <c r="H269" s="44" t="str">
        <f t="array" ref="H269">IFERROR(INDEX('Agenda 2026'!G$2:G$376,MATCH(ROWS($A$7:$A269),'Agenda 2026'!$N$2:$N$376,0)),"")</f>
        <v/>
      </c>
      <c r="I269" s="46" t="str">
        <f t="array" ref="I269">IFERROR(INDEX('Agenda 2026'!H$2:H$376,MATCH(ROWS($A$7:$A269),'Agenda 2026'!$N$2:$N$376,0)),"")</f>
        <v/>
      </c>
      <c r="J269" s="47"/>
      <c r="K269" s="48" t="str">
        <f t="array" ref="K269">IFERROR(HYPERLINK(INDEX('Agenda 2026'!J$2:J$376,MATCH(ROWS($A$7:$A269),'Agenda 2026'!$N$2:$N$376,0)),"Ver fuente ↗"),"")</f>
        <v/>
      </c>
      <c r="L269" s="49" t="str">
        <f t="array" ref="L269">IFERROR(INDEX('Agenda 2026'!K$2:K$376,MATCH(ROWS($A$7:$A269),'Agenda 2026'!$N$2:$N$376,0)),"")</f>
        <v/>
      </c>
      <c r="M269" s="50" t="str">
        <f t="array" ref="M269">IFERROR(INDEX('Agenda 2026'!O$2:O$376,MATCH(ROWS($A$7:$A269),'Agenda 2026'!$N$2:$N$376,0)),"")</f>
        <v/>
      </c>
    </row>
    <row r="270" spans="1:13" ht="42" customHeight="1" x14ac:dyDescent="0.35">
      <c r="A270" s="42" t="str">
        <f t="array" ref="A270">IFERROR(INDEX('Agenda 2026'!A$2:A$376,MATCH(ROWS($A$7:$A270),'Agenda 2026'!$N$2:$N$376,0)),"")</f>
        <v/>
      </c>
      <c r="B270" s="43" t="str">
        <f t="array" ref="B270">IFERROR(INDEX('Agenda 2026'!P$2:P$376,MATCH(ROWS($A$7:$A270),'Agenda 2026'!$N$2:$N$376,0)),"")</f>
        <v/>
      </c>
      <c r="C270" s="44" t="str">
        <f t="array" ref="C270">IFERROR(INDEX('Agenda 2026'!B$2:B$376,MATCH(ROWS($A$7:$A270),'Agenda 2026'!$N$2:$N$376,0)),"")</f>
        <v/>
      </c>
      <c r="D270" s="44" t="str">
        <f t="array" ref="D270">IFERROR(INDEX('Agenda 2026'!C$2:C$376,MATCH(ROWS($A$7:$A270),'Agenda 2026'!$N$2:$N$376,0)),"")</f>
        <v/>
      </c>
      <c r="E270" s="44" t="str">
        <f t="array" ref="E270">IFERROR(INDEX('Agenda 2026'!D$2:D$376,MATCH(ROWS($A$7:$A270),'Agenda 2026'!$N$2:$N$376,0)),"")</f>
        <v/>
      </c>
      <c r="F270" s="45" t="str">
        <f t="array" ref="F270">IFERROR(INDEX('Agenda 2026'!E$2:E$376,MATCH(ROWS($A$7:$A270),'Agenda 2026'!$N$2:$N$376,0)),"")</f>
        <v/>
      </c>
      <c r="G270" s="44" t="str">
        <f t="array" ref="G270">IFERROR(INDEX('Agenda 2026'!F$2:F$376,MATCH(ROWS($A$7:$A270),'Agenda 2026'!$N$2:$N$376,0)),"")</f>
        <v/>
      </c>
      <c r="H270" s="44" t="str">
        <f t="array" ref="H270">IFERROR(INDEX('Agenda 2026'!G$2:G$376,MATCH(ROWS($A$7:$A270),'Agenda 2026'!$N$2:$N$376,0)),"")</f>
        <v/>
      </c>
      <c r="I270" s="46" t="str">
        <f t="array" ref="I270">IFERROR(INDEX('Agenda 2026'!H$2:H$376,MATCH(ROWS($A$7:$A270),'Agenda 2026'!$N$2:$N$376,0)),"")</f>
        <v/>
      </c>
      <c r="J270" s="47"/>
      <c r="K270" s="48" t="str">
        <f t="array" ref="K270">IFERROR(HYPERLINK(INDEX('Agenda 2026'!J$2:J$376,MATCH(ROWS($A$7:$A270),'Agenda 2026'!$N$2:$N$376,0)),"Ver fuente ↗"),"")</f>
        <v/>
      </c>
      <c r="L270" s="49" t="str">
        <f t="array" ref="L270">IFERROR(INDEX('Agenda 2026'!K$2:K$376,MATCH(ROWS($A$7:$A270),'Agenda 2026'!$N$2:$N$376,0)),"")</f>
        <v/>
      </c>
      <c r="M270" s="50" t="str">
        <f t="array" ref="M270">IFERROR(INDEX('Agenda 2026'!O$2:O$376,MATCH(ROWS($A$7:$A270),'Agenda 2026'!$N$2:$N$376,0)),"")</f>
        <v/>
      </c>
    </row>
    <row r="271" spans="1:13" ht="42" customHeight="1" x14ac:dyDescent="0.35">
      <c r="A271" s="42" t="str">
        <f t="array" ref="A271">IFERROR(INDEX('Agenda 2026'!A$2:A$376,MATCH(ROWS($A$7:$A271),'Agenda 2026'!$N$2:$N$376,0)),"")</f>
        <v/>
      </c>
      <c r="B271" s="43" t="str">
        <f t="array" ref="B271">IFERROR(INDEX('Agenda 2026'!P$2:P$376,MATCH(ROWS($A$7:$A271),'Agenda 2026'!$N$2:$N$376,0)),"")</f>
        <v/>
      </c>
      <c r="C271" s="44" t="str">
        <f t="array" ref="C271">IFERROR(INDEX('Agenda 2026'!B$2:B$376,MATCH(ROWS($A$7:$A271),'Agenda 2026'!$N$2:$N$376,0)),"")</f>
        <v/>
      </c>
      <c r="D271" s="44" t="str">
        <f t="array" ref="D271">IFERROR(INDEX('Agenda 2026'!C$2:C$376,MATCH(ROWS($A$7:$A271),'Agenda 2026'!$N$2:$N$376,0)),"")</f>
        <v/>
      </c>
      <c r="E271" s="44" t="str">
        <f t="array" ref="E271">IFERROR(INDEX('Agenda 2026'!D$2:D$376,MATCH(ROWS($A$7:$A271),'Agenda 2026'!$N$2:$N$376,0)),"")</f>
        <v/>
      </c>
      <c r="F271" s="45" t="str">
        <f t="array" ref="F271">IFERROR(INDEX('Agenda 2026'!E$2:E$376,MATCH(ROWS($A$7:$A271),'Agenda 2026'!$N$2:$N$376,0)),"")</f>
        <v/>
      </c>
      <c r="G271" s="44" t="str">
        <f t="array" ref="G271">IFERROR(INDEX('Agenda 2026'!F$2:F$376,MATCH(ROWS($A$7:$A271),'Agenda 2026'!$N$2:$N$376,0)),"")</f>
        <v/>
      </c>
      <c r="H271" s="44" t="str">
        <f t="array" ref="H271">IFERROR(INDEX('Agenda 2026'!G$2:G$376,MATCH(ROWS($A$7:$A271),'Agenda 2026'!$N$2:$N$376,0)),"")</f>
        <v/>
      </c>
      <c r="I271" s="46" t="str">
        <f t="array" ref="I271">IFERROR(INDEX('Agenda 2026'!H$2:H$376,MATCH(ROWS($A$7:$A271),'Agenda 2026'!$N$2:$N$376,0)),"")</f>
        <v/>
      </c>
      <c r="J271" s="47"/>
      <c r="K271" s="48" t="str">
        <f t="array" ref="K271">IFERROR(HYPERLINK(INDEX('Agenda 2026'!J$2:J$376,MATCH(ROWS($A$7:$A271),'Agenda 2026'!$N$2:$N$376,0)),"Ver fuente ↗"),"")</f>
        <v/>
      </c>
      <c r="L271" s="49" t="str">
        <f t="array" ref="L271">IFERROR(INDEX('Agenda 2026'!K$2:K$376,MATCH(ROWS($A$7:$A271),'Agenda 2026'!$N$2:$N$376,0)),"")</f>
        <v/>
      </c>
      <c r="M271" s="50" t="str">
        <f t="array" ref="M271">IFERROR(INDEX('Agenda 2026'!O$2:O$376,MATCH(ROWS($A$7:$A271),'Agenda 2026'!$N$2:$N$376,0)),"")</f>
        <v/>
      </c>
    </row>
    <row r="272" spans="1:13" ht="42" customHeight="1" x14ac:dyDescent="0.35">
      <c r="A272" s="42" t="str">
        <f t="array" ref="A272">IFERROR(INDEX('Agenda 2026'!A$2:A$376,MATCH(ROWS($A$7:$A272),'Agenda 2026'!$N$2:$N$376,0)),"")</f>
        <v/>
      </c>
      <c r="B272" s="43" t="str">
        <f t="array" ref="B272">IFERROR(INDEX('Agenda 2026'!P$2:P$376,MATCH(ROWS($A$7:$A272),'Agenda 2026'!$N$2:$N$376,0)),"")</f>
        <v/>
      </c>
      <c r="C272" s="44" t="str">
        <f t="array" ref="C272">IFERROR(INDEX('Agenda 2026'!B$2:B$376,MATCH(ROWS($A$7:$A272),'Agenda 2026'!$N$2:$N$376,0)),"")</f>
        <v/>
      </c>
      <c r="D272" s="44" t="str">
        <f t="array" ref="D272">IFERROR(INDEX('Agenda 2026'!C$2:C$376,MATCH(ROWS($A$7:$A272),'Agenda 2026'!$N$2:$N$376,0)),"")</f>
        <v/>
      </c>
      <c r="E272" s="44" t="str">
        <f t="array" ref="E272">IFERROR(INDEX('Agenda 2026'!D$2:D$376,MATCH(ROWS($A$7:$A272),'Agenda 2026'!$N$2:$N$376,0)),"")</f>
        <v/>
      </c>
      <c r="F272" s="45" t="str">
        <f t="array" ref="F272">IFERROR(INDEX('Agenda 2026'!E$2:E$376,MATCH(ROWS($A$7:$A272),'Agenda 2026'!$N$2:$N$376,0)),"")</f>
        <v/>
      </c>
      <c r="G272" s="44" t="str">
        <f t="array" ref="G272">IFERROR(INDEX('Agenda 2026'!F$2:F$376,MATCH(ROWS($A$7:$A272),'Agenda 2026'!$N$2:$N$376,0)),"")</f>
        <v/>
      </c>
      <c r="H272" s="44" t="str">
        <f t="array" ref="H272">IFERROR(INDEX('Agenda 2026'!G$2:G$376,MATCH(ROWS($A$7:$A272),'Agenda 2026'!$N$2:$N$376,0)),"")</f>
        <v/>
      </c>
      <c r="I272" s="46" t="str">
        <f t="array" ref="I272">IFERROR(INDEX('Agenda 2026'!H$2:H$376,MATCH(ROWS($A$7:$A272),'Agenda 2026'!$N$2:$N$376,0)),"")</f>
        <v/>
      </c>
      <c r="J272" s="47"/>
      <c r="K272" s="48" t="str">
        <f t="array" ref="K272">IFERROR(HYPERLINK(INDEX('Agenda 2026'!J$2:J$376,MATCH(ROWS($A$7:$A272),'Agenda 2026'!$N$2:$N$376,0)),"Ver fuente ↗"),"")</f>
        <v/>
      </c>
      <c r="L272" s="49" t="str">
        <f t="array" ref="L272">IFERROR(INDEX('Agenda 2026'!K$2:K$376,MATCH(ROWS($A$7:$A272),'Agenda 2026'!$N$2:$N$376,0)),"")</f>
        <v/>
      </c>
      <c r="M272" s="50" t="str">
        <f t="array" ref="M272">IFERROR(INDEX('Agenda 2026'!O$2:O$376,MATCH(ROWS($A$7:$A272),'Agenda 2026'!$N$2:$N$376,0)),"")</f>
        <v/>
      </c>
    </row>
    <row r="273" spans="1:13" ht="42" customHeight="1" x14ac:dyDescent="0.35">
      <c r="A273" s="42" t="str">
        <f t="array" ref="A273">IFERROR(INDEX('Agenda 2026'!A$2:A$376,MATCH(ROWS($A$7:$A273),'Agenda 2026'!$N$2:$N$376,0)),"")</f>
        <v/>
      </c>
      <c r="B273" s="43" t="str">
        <f t="array" ref="B273">IFERROR(INDEX('Agenda 2026'!P$2:P$376,MATCH(ROWS($A$7:$A273),'Agenda 2026'!$N$2:$N$376,0)),"")</f>
        <v/>
      </c>
      <c r="C273" s="44" t="str">
        <f t="array" ref="C273">IFERROR(INDEX('Agenda 2026'!B$2:B$376,MATCH(ROWS($A$7:$A273),'Agenda 2026'!$N$2:$N$376,0)),"")</f>
        <v/>
      </c>
      <c r="D273" s="44" t="str">
        <f t="array" ref="D273">IFERROR(INDEX('Agenda 2026'!C$2:C$376,MATCH(ROWS($A$7:$A273),'Agenda 2026'!$N$2:$N$376,0)),"")</f>
        <v/>
      </c>
      <c r="E273" s="44" t="str">
        <f t="array" ref="E273">IFERROR(INDEX('Agenda 2026'!D$2:D$376,MATCH(ROWS($A$7:$A273),'Agenda 2026'!$N$2:$N$376,0)),"")</f>
        <v/>
      </c>
      <c r="F273" s="45" t="str">
        <f t="array" ref="F273">IFERROR(INDEX('Agenda 2026'!E$2:E$376,MATCH(ROWS($A$7:$A273),'Agenda 2026'!$N$2:$N$376,0)),"")</f>
        <v/>
      </c>
      <c r="G273" s="44" t="str">
        <f t="array" ref="G273">IFERROR(INDEX('Agenda 2026'!F$2:F$376,MATCH(ROWS($A$7:$A273),'Agenda 2026'!$N$2:$N$376,0)),"")</f>
        <v/>
      </c>
      <c r="H273" s="44" t="str">
        <f t="array" ref="H273">IFERROR(INDEX('Agenda 2026'!G$2:G$376,MATCH(ROWS($A$7:$A273),'Agenda 2026'!$N$2:$N$376,0)),"")</f>
        <v/>
      </c>
      <c r="I273" s="46" t="str">
        <f t="array" ref="I273">IFERROR(INDEX('Agenda 2026'!H$2:H$376,MATCH(ROWS($A$7:$A273),'Agenda 2026'!$N$2:$N$376,0)),"")</f>
        <v/>
      </c>
      <c r="J273" s="47"/>
      <c r="K273" s="48" t="str">
        <f t="array" ref="K273">IFERROR(HYPERLINK(INDEX('Agenda 2026'!J$2:J$376,MATCH(ROWS($A$7:$A273),'Agenda 2026'!$N$2:$N$376,0)),"Ver fuente ↗"),"")</f>
        <v/>
      </c>
      <c r="L273" s="49" t="str">
        <f t="array" ref="L273">IFERROR(INDEX('Agenda 2026'!K$2:K$376,MATCH(ROWS($A$7:$A273),'Agenda 2026'!$N$2:$N$376,0)),"")</f>
        <v/>
      </c>
      <c r="M273" s="50" t="str">
        <f t="array" ref="M273">IFERROR(INDEX('Agenda 2026'!O$2:O$376,MATCH(ROWS($A$7:$A273),'Agenda 2026'!$N$2:$N$376,0)),"")</f>
        <v/>
      </c>
    </row>
    <row r="274" spans="1:13" ht="42" customHeight="1" x14ac:dyDescent="0.35">
      <c r="A274" s="42" t="str">
        <f t="array" ref="A274">IFERROR(INDEX('Agenda 2026'!A$2:A$376,MATCH(ROWS($A$7:$A274),'Agenda 2026'!$N$2:$N$376,0)),"")</f>
        <v/>
      </c>
      <c r="B274" s="43" t="str">
        <f t="array" ref="B274">IFERROR(INDEX('Agenda 2026'!P$2:P$376,MATCH(ROWS($A$7:$A274),'Agenda 2026'!$N$2:$N$376,0)),"")</f>
        <v/>
      </c>
      <c r="C274" s="44" t="str">
        <f t="array" ref="C274">IFERROR(INDEX('Agenda 2026'!B$2:B$376,MATCH(ROWS($A$7:$A274),'Agenda 2026'!$N$2:$N$376,0)),"")</f>
        <v/>
      </c>
      <c r="D274" s="44" t="str">
        <f t="array" ref="D274">IFERROR(INDEX('Agenda 2026'!C$2:C$376,MATCH(ROWS($A$7:$A274),'Agenda 2026'!$N$2:$N$376,0)),"")</f>
        <v/>
      </c>
      <c r="E274" s="44" t="str">
        <f t="array" ref="E274">IFERROR(INDEX('Agenda 2026'!D$2:D$376,MATCH(ROWS($A$7:$A274),'Agenda 2026'!$N$2:$N$376,0)),"")</f>
        <v/>
      </c>
      <c r="F274" s="45" t="str">
        <f t="array" ref="F274">IFERROR(INDEX('Agenda 2026'!E$2:E$376,MATCH(ROWS($A$7:$A274),'Agenda 2026'!$N$2:$N$376,0)),"")</f>
        <v/>
      </c>
      <c r="G274" s="44" t="str">
        <f t="array" ref="G274">IFERROR(INDEX('Agenda 2026'!F$2:F$376,MATCH(ROWS($A$7:$A274),'Agenda 2026'!$N$2:$N$376,0)),"")</f>
        <v/>
      </c>
      <c r="H274" s="44" t="str">
        <f t="array" ref="H274">IFERROR(INDEX('Agenda 2026'!G$2:G$376,MATCH(ROWS($A$7:$A274),'Agenda 2026'!$N$2:$N$376,0)),"")</f>
        <v/>
      </c>
      <c r="I274" s="46" t="str">
        <f t="array" ref="I274">IFERROR(INDEX('Agenda 2026'!H$2:H$376,MATCH(ROWS($A$7:$A274),'Agenda 2026'!$N$2:$N$376,0)),"")</f>
        <v/>
      </c>
      <c r="J274" s="47"/>
      <c r="K274" s="48" t="str">
        <f t="array" ref="K274">IFERROR(HYPERLINK(INDEX('Agenda 2026'!J$2:J$376,MATCH(ROWS($A$7:$A274),'Agenda 2026'!$N$2:$N$376,0)),"Ver fuente ↗"),"")</f>
        <v/>
      </c>
      <c r="L274" s="49" t="str">
        <f t="array" ref="L274">IFERROR(INDEX('Agenda 2026'!K$2:K$376,MATCH(ROWS($A$7:$A274),'Agenda 2026'!$N$2:$N$376,0)),"")</f>
        <v/>
      </c>
      <c r="M274" s="50" t="str">
        <f t="array" ref="M274">IFERROR(INDEX('Agenda 2026'!O$2:O$376,MATCH(ROWS($A$7:$A274),'Agenda 2026'!$N$2:$N$376,0)),"")</f>
        <v/>
      </c>
    </row>
    <row r="275" spans="1:13" ht="42" customHeight="1" x14ac:dyDescent="0.35">
      <c r="A275" s="42" t="str">
        <f t="array" ref="A275">IFERROR(INDEX('Agenda 2026'!A$2:A$376,MATCH(ROWS($A$7:$A275),'Agenda 2026'!$N$2:$N$376,0)),"")</f>
        <v/>
      </c>
      <c r="B275" s="43" t="str">
        <f t="array" ref="B275">IFERROR(INDEX('Agenda 2026'!P$2:P$376,MATCH(ROWS($A$7:$A275),'Agenda 2026'!$N$2:$N$376,0)),"")</f>
        <v/>
      </c>
      <c r="C275" s="44" t="str">
        <f t="array" ref="C275">IFERROR(INDEX('Agenda 2026'!B$2:B$376,MATCH(ROWS($A$7:$A275),'Agenda 2026'!$N$2:$N$376,0)),"")</f>
        <v/>
      </c>
      <c r="D275" s="44" t="str">
        <f t="array" ref="D275">IFERROR(INDEX('Agenda 2026'!C$2:C$376,MATCH(ROWS($A$7:$A275),'Agenda 2026'!$N$2:$N$376,0)),"")</f>
        <v/>
      </c>
      <c r="E275" s="44" t="str">
        <f t="array" ref="E275">IFERROR(INDEX('Agenda 2026'!D$2:D$376,MATCH(ROWS($A$7:$A275),'Agenda 2026'!$N$2:$N$376,0)),"")</f>
        <v/>
      </c>
      <c r="F275" s="45" t="str">
        <f t="array" ref="F275">IFERROR(INDEX('Agenda 2026'!E$2:E$376,MATCH(ROWS($A$7:$A275),'Agenda 2026'!$N$2:$N$376,0)),"")</f>
        <v/>
      </c>
      <c r="G275" s="44" t="str">
        <f t="array" ref="G275">IFERROR(INDEX('Agenda 2026'!F$2:F$376,MATCH(ROWS($A$7:$A275),'Agenda 2026'!$N$2:$N$376,0)),"")</f>
        <v/>
      </c>
      <c r="H275" s="44" t="str">
        <f t="array" ref="H275">IFERROR(INDEX('Agenda 2026'!G$2:G$376,MATCH(ROWS($A$7:$A275),'Agenda 2026'!$N$2:$N$376,0)),"")</f>
        <v/>
      </c>
      <c r="I275" s="46" t="str">
        <f t="array" ref="I275">IFERROR(INDEX('Agenda 2026'!H$2:H$376,MATCH(ROWS($A$7:$A275),'Agenda 2026'!$N$2:$N$376,0)),"")</f>
        <v/>
      </c>
      <c r="J275" s="47"/>
      <c r="K275" s="48" t="str">
        <f t="array" ref="K275">IFERROR(HYPERLINK(INDEX('Agenda 2026'!J$2:J$376,MATCH(ROWS($A$7:$A275),'Agenda 2026'!$N$2:$N$376,0)),"Ver fuente ↗"),"")</f>
        <v/>
      </c>
      <c r="L275" s="49" t="str">
        <f t="array" ref="L275">IFERROR(INDEX('Agenda 2026'!K$2:K$376,MATCH(ROWS($A$7:$A275),'Agenda 2026'!$N$2:$N$376,0)),"")</f>
        <v/>
      </c>
      <c r="M275" s="50" t="str">
        <f t="array" ref="M275">IFERROR(INDEX('Agenda 2026'!O$2:O$376,MATCH(ROWS($A$7:$A275),'Agenda 2026'!$N$2:$N$376,0)),"")</f>
        <v/>
      </c>
    </row>
    <row r="276" spans="1:13" ht="42" customHeight="1" x14ac:dyDescent="0.35">
      <c r="A276" s="42" t="str">
        <f t="array" ref="A276">IFERROR(INDEX('Agenda 2026'!A$2:A$376,MATCH(ROWS($A$7:$A276),'Agenda 2026'!$N$2:$N$376,0)),"")</f>
        <v/>
      </c>
      <c r="B276" s="43" t="str">
        <f t="array" ref="B276">IFERROR(INDEX('Agenda 2026'!P$2:P$376,MATCH(ROWS($A$7:$A276),'Agenda 2026'!$N$2:$N$376,0)),"")</f>
        <v/>
      </c>
      <c r="C276" s="44" t="str">
        <f t="array" ref="C276">IFERROR(INDEX('Agenda 2026'!B$2:B$376,MATCH(ROWS($A$7:$A276),'Agenda 2026'!$N$2:$N$376,0)),"")</f>
        <v/>
      </c>
      <c r="D276" s="44" t="str">
        <f t="array" ref="D276">IFERROR(INDEX('Agenda 2026'!C$2:C$376,MATCH(ROWS($A$7:$A276),'Agenda 2026'!$N$2:$N$376,0)),"")</f>
        <v/>
      </c>
      <c r="E276" s="44" t="str">
        <f t="array" ref="E276">IFERROR(INDEX('Agenda 2026'!D$2:D$376,MATCH(ROWS($A$7:$A276),'Agenda 2026'!$N$2:$N$376,0)),"")</f>
        <v/>
      </c>
      <c r="F276" s="45" t="str">
        <f t="array" ref="F276">IFERROR(INDEX('Agenda 2026'!E$2:E$376,MATCH(ROWS($A$7:$A276),'Agenda 2026'!$N$2:$N$376,0)),"")</f>
        <v/>
      </c>
      <c r="G276" s="44" t="str">
        <f t="array" ref="G276">IFERROR(INDEX('Agenda 2026'!F$2:F$376,MATCH(ROWS($A$7:$A276),'Agenda 2026'!$N$2:$N$376,0)),"")</f>
        <v/>
      </c>
      <c r="H276" s="44" t="str">
        <f t="array" ref="H276">IFERROR(INDEX('Agenda 2026'!G$2:G$376,MATCH(ROWS($A$7:$A276),'Agenda 2026'!$N$2:$N$376,0)),"")</f>
        <v/>
      </c>
      <c r="I276" s="46" t="str">
        <f t="array" ref="I276">IFERROR(INDEX('Agenda 2026'!H$2:H$376,MATCH(ROWS($A$7:$A276),'Agenda 2026'!$N$2:$N$376,0)),"")</f>
        <v/>
      </c>
      <c r="J276" s="47"/>
      <c r="K276" s="48" t="str">
        <f t="array" ref="K276">IFERROR(HYPERLINK(INDEX('Agenda 2026'!J$2:J$376,MATCH(ROWS($A$7:$A276),'Agenda 2026'!$N$2:$N$376,0)),"Ver fuente ↗"),"")</f>
        <v/>
      </c>
      <c r="L276" s="49" t="str">
        <f t="array" ref="L276">IFERROR(INDEX('Agenda 2026'!K$2:K$376,MATCH(ROWS($A$7:$A276),'Agenda 2026'!$N$2:$N$376,0)),"")</f>
        <v/>
      </c>
      <c r="M276" s="50" t="str">
        <f t="array" ref="M276">IFERROR(INDEX('Agenda 2026'!O$2:O$376,MATCH(ROWS($A$7:$A276),'Agenda 2026'!$N$2:$N$376,0)),"")</f>
        <v/>
      </c>
    </row>
    <row r="277" spans="1:13" ht="42" customHeight="1" x14ac:dyDescent="0.35">
      <c r="A277" s="42" t="str">
        <f t="array" ref="A277">IFERROR(INDEX('Agenda 2026'!A$2:A$376,MATCH(ROWS($A$7:$A277),'Agenda 2026'!$N$2:$N$376,0)),"")</f>
        <v/>
      </c>
      <c r="B277" s="43" t="str">
        <f t="array" ref="B277">IFERROR(INDEX('Agenda 2026'!P$2:P$376,MATCH(ROWS($A$7:$A277),'Agenda 2026'!$N$2:$N$376,0)),"")</f>
        <v/>
      </c>
      <c r="C277" s="44" t="str">
        <f t="array" ref="C277">IFERROR(INDEX('Agenda 2026'!B$2:B$376,MATCH(ROWS($A$7:$A277),'Agenda 2026'!$N$2:$N$376,0)),"")</f>
        <v/>
      </c>
      <c r="D277" s="44" t="str">
        <f t="array" ref="D277">IFERROR(INDEX('Agenda 2026'!C$2:C$376,MATCH(ROWS($A$7:$A277),'Agenda 2026'!$N$2:$N$376,0)),"")</f>
        <v/>
      </c>
      <c r="E277" s="44" t="str">
        <f t="array" ref="E277">IFERROR(INDEX('Agenda 2026'!D$2:D$376,MATCH(ROWS($A$7:$A277),'Agenda 2026'!$N$2:$N$376,0)),"")</f>
        <v/>
      </c>
      <c r="F277" s="45" t="str">
        <f t="array" ref="F277">IFERROR(INDEX('Agenda 2026'!E$2:E$376,MATCH(ROWS($A$7:$A277),'Agenda 2026'!$N$2:$N$376,0)),"")</f>
        <v/>
      </c>
      <c r="G277" s="44" t="str">
        <f t="array" ref="G277">IFERROR(INDEX('Agenda 2026'!F$2:F$376,MATCH(ROWS($A$7:$A277),'Agenda 2026'!$N$2:$N$376,0)),"")</f>
        <v/>
      </c>
      <c r="H277" s="44" t="str">
        <f t="array" ref="H277">IFERROR(INDEX('Agenda 2026'!G$2:G$376,MATCH(ROWS($A$7:$A277),'Agenda 2026'!$N$2:$N$376,0)),"")</f>
        <v/>
      </c>
      <c r="I277" s="46" t="str">
        <f t="array" ref="I277">IFERROR(INDEX('Agenda 2026'!H$2:H$376,MATCH(ROWS($A$7:$A277),'Agenda 2026'!$N$2:$N$376,0)),"")</f>
        <v/>
      </c>
      <c r="J277" s="47"/>
      <c r="K277" s="48" t="str">
        <f t="array" ref="K277">IFERROR(HYPERLINK(INDEX('Agenda 2026'!J$2:J$376,MATCH(ROWS($A$7:$A277),'Agenda 2026'!$N$2:$N$376,0)),"Ver fuente ↗"),"")</f>
        <v/>
      </c>
      <c r="L277" s="49" t="str">
        <f t="array" ref="L277">IFERROR(INDEX('Agenda 2026'!K$2:K$376,MATCH(ROWS($A$7:$A277),'Agenda 2026'!$N$2:$N$376,0)),"")</f>
        <v/>
      </c>
      <c r="M277" s="50" t="str">
        <f t="array" ref="M277">IFERROR(INDEX('Agenda 2026'!O$2:O$376,MATCH(ROWS($A$7:$A277),'Agenda 2026'!$N$2:$N$376,0)),"")</f>
        <v/>
      </c>
    </row>
    <row r="278" spans="1:13" ht="42" customHeight="1" x14ac:dyDescent="0.35">
      <c r="A278" s="42" t="str">
        <f t="array" ref="A278">IFERROR(INDEX('Agenda 2026'!A$2:A$376,MATCH(ROWS($A$7:$A278),'Agenda 2026'!$N$2:$N$376,0)),"")</f>
        <v/>
      </c>
      <c r="B278" s="43" t="str">
        <f t="array" ref="B278">IFERROR(INDEX('Agenda 2026'!P$2:P$376,MATCH(ROWS($A$7:$A278),'Agenda 2026'!$N$2:$N$376,0)),"")</f>
        <v/>
      </c>
      <c r="C278" s="44" t="str">
        <f t="array" ref="C278">IFERROR(INDEX('Agenda 2026'!B$2:B$376,MATCH(ROWS($A$7:$A278),'Agenda 2026'!$N$2:$N$376,0)),"")</f>
        <v/>
      </c>
      <c r="D278" s="44" t="str">
        <f t="array" ref="D278">IFERROR(INDEX('Agenda 2026'!C$2:C$376,MATCH(ROWS($A$7:$A278),'Agenda 2026'!$N$2:$N$376,0)),"")</f>
        <v/>
      </c>
      <c r="E278" s="44" t="str">
        <f t="array" ref="E278">IFERROR(INDEX('Agenda 2026'!D$2:D$376,MATCH(ROWS($A$7:$A278),'Agenda 2026'!$N$2:$N$376,0)),"")</f>
        <v/>
      </c>
      <c r="F278" s="45" t="str">
        <f t="array" ref="F278">IFERROR(INDEX('Agenda 2026'!E$2:E$376,MATCH(ROWS($A$7:$A278),'Agenda 2026'!$N$2:$N$376,0)),"")</f>
        <v/>
      </c>
      <c r="G278" s="44" t="str">
        <f t="array" ref="G278">IFERROR(INDEX('Agenda 2026'!F$2:F$376,MATCH(ROWS($A$7:$A278),'Agenda 2026'!$N$2:$N$376,0)),"")</f>
        <v/>
      </c>
      <c r="H278" s="44" t="str">
        <f t="array" ref="H278">IFERROR(INDEX('Agenda 2026'!G$2:G$376,MATCH(ROWS($A$7:$A278),'Agenda 2026'!$N$2:$N$376,0)),"")</f>
        <v/>
      </c>
      <c r="I278" s="46" t="str">
        <f t="array" ref="I278">IFERROR(INDEX('Agenda 2026'!H$2:H$376,MATCH(ROWS($A$7:$A278),'Agenda 2026'!$N$2:$N$376,0)),"")</f>
        <v/>
      </c>
      <c r="J278" s="47"/>
      <c r="K278" s="48" t="str">
        <f t="array" ref="K278">IFERROR(HYPERLINK(INDEX('Agenda 2026'!J$2:J$376,MATCH(ROWS($A$7:$A278),'Agenda 2026'!$N$2:$N$376,0)),"Ver fuente ↗"),"")</f>
        <v/>
      </c>
      <c r="L278" s="49" t="str">
        <f t="array" ref="L278">IFERROR(INDEX('Agenda 2026'!K$2:K$376,MATCH(ROWS($A$7:$A278),'Agenda 2026'!$N$2:$N$376,0)),"")</f>
        <v/>
      </c>
      <c r="M278" s="50" t="str">
        <f t="array" ref="M278">IFERROR(INDEX('Agenda 2026'!O$2:O$376,MATCH(ROWS($A$7:$A278),'Agenda 2026'!$N$2:$N$376,0)),"")</f>
        <v/>
      </c>
    </row>
    <row r="279" spans="1:13" ht="42" customHeight="1" x14ac:dyDescent="0.35">
      <c r="A279" s="42" t="str">
        <f t="array" ref="A279">IFERROR(INDEX('Agenda 2026'!A$2:A$376,MATCH(ROWS($A$7:$A279),'Agenda 2026'!$N$2:$N$376,0)),"")</f>
        <v/>
      </c>
      <c r="B279" s="43" t="str">
        <f t="array" ref="B279">IFERROR(INDEX('Agenda 2026'!P$2:P$376,MATCH(ROWS($A$7:$A279),'Agenda 2026'!$N$2:$N$376,0)),"")</f>
        <v/>
      </c>
      <c r="C279" s="44" t="str">
        <f t="array" ref="C279">IFERROR(INDEX('Agenda 2026'!B$2:B$376,MATCH(ROWS($A$7:$A279),'Agenda 2026'!$N$2:$N$376,0)),"")</f>
        <v/>
      </c>
      <c r="D279" s="44" t="str">
        <f t="array" ref="D279">IFERROR(INDEX('Agenda 2026'!C$2:C$376,MATCH(ROWS($A$7:$A279),'Agenda 2026'!$N$2:$N$376,0)),"")</f>
        <v/>
      </c>
      <c r="E279" s="44" t="str">
        <f t="array" ref="E279">IFERROR(INDEX('Agenda 2026'!D$2:D$376,MATCH(ROWS($A$7:$A279),'Agenda 2026'!$N$2:$N$376,0)),"")</f>
        <v/>
      </c>
      <c r="F279" s="45" t="str">
        <f t="array" ref="F279">IFERROR(INDEX('Agenda 2026'!E$2:E$376,MATCH(ROWS($A$7:$A279),'Agenda 2026'!$N$2:$N$376,0)),"")</f>
        <v/>
      </c>
      <c r="G279" s="44" t="str">
        <f t="array" ref="G279">IFERROR(INDEX('Agenda 2026'!F$2:F$376,MATCH(ROWS($A$7:$A279),'Agenda 2026'!$N$2:$N$376,0)),"")</f>
        <v/>
      </c>
      <c r="H279" s="44" t="str">
        <f t="array" ref="H279">IFERROR(INDEX('Agenda 2026'!G$2:G$376,MATCH(ROWS($A$7:$A279),'Agenda 2026'!$N$2:$N$376,0)),"")</f>
        <v/>
      </c>
      <c r="I279" s="46" t="str">
        <f t="array" ref="I279">IFERROR(INDEX('Agenda 2026'!H$2:H$376,MATCH(ROWS($A$7:$A279),'Agenda 2026'!$N$2:$N$376,0)),"")</f>
        <v/>
      </c>
      <c r="J279" s="47"/>
      <c r="K279" s="48" t="str">
        <f t="array" ref="K279">IFERROR(HYPERLINK(INDEX('Agenda 2026'!J$2:J$376,MATCH(ROWS($A$7:$A279),'Agenda 2026'!$N$2:$N$376,0)),"Ver fuente ↗"),"")</f>
        <v/>
      </c>
      <c r="L279" s="49" t="str">
        <f t="array" ref="L279">IFERROR(INDEX('Agenda 2026'!K$2:K$376,MATCH(ROWS($A$7:$A279),'Agenda 2026'!$N$2:$N$376,0)),"")</f>
        <v/>
      </c>
      <c r="M279" s="50" t="str">
        <f t="array" ref="M279">IFERROR(INDEX('Agenda 2026'!O$2:O$376,MATCH(ROWS($A$7:$A279),'Agenda 2026'!$N$2:$N$376,0)),"")</f>
        <v/>
      </c>
    </row>
    <row r="280" spans="1:13" ht="42" customHeight="1" x14ac:dyDescent="0.35">
      <c r="A280" s="42" t="str">
        <f t="array" ref="A280">IFERROR(INDEX('Agenda 2026'!A$2:A$376,MATCH(ROWS($A$7:$A280),'Agenda 2026'!$N$2:$N$376,0)),"")</f>
        <v/>
      </c>
      <c r="B280" s="43" t="str">
        <f t="array" ref="B280">IFERROR(INDEX('Agenda 2026'!P$2:P$376,MATCH(ROWS($A$7:$A280),'Agenda 2026'!$N$2:$N$376,0)),"")</f>
        <v/>
      </c>
      <c r="C280" s="44" t="str">
        <f t="array" ref="C280">IFERROR(INDEX('Agenda 2026'!B$2:B$376,MATCH(ROWS($A$7:$A280),'Agenda 2026'!$N$2:$N$376,0)),"")</f>
        <v/>
      </c>
      <c r="D280" s="44" t="str">
        <f t="array" ref="D280">IFERROR(INDEX('Agenda 2026'!C$2:C$376,MATCH(ROWS($A$7:$A280),'Agenda 2026'!$N$2:$N$376,0)),"")</f>
        <v/>
      </c>
      <c r="E280" s="44" t="str">
        <f t="array" ref="E280">IFERROR(INDEX('Agenda 2026'!D$2:D$376,MATCH(ROWS($A$7:$A280),'Agenda 2026'!$N$2:$N$376,0)),"")</f>
        <v/>
      </c>
      <c r="F280" s="45" t="str">
        <f t="array" ref="F280">IFERROR(INDEX('Agenda 2026'!E$2:E$376,MATCH(ROWS($A$7:$A280),'Agenda 2026'!$N$2:$N$376,0)),"")</f>
        <v/>
      </c>
      <c r="G280" s="44" t="str">
        <f t="array" ref="G280">IFERROR(INDEX('Agenda 2026'!F$2:F$376,MATCH(ROWS($A$7:$A280),'Agenda 2026'!$N$2:$N$376,0)),"")</f>
        <v/>
      </c>
      <c r="H280" s="44" t="str">
        <f t="array" ref="H280">IFERROR(INDEX('Agenda 2026'!G$2:G$376,MATCH(ROWS($A$7:$A280),'Agenda 2026'!$N$2:$N$376,0)),"")</f>
        <v/>
      </c>
      <c r="I280" s="46" t="str">
        <f t="array" ref="I280">IFERROR(INDEX('Agenda 2026'!H$2:H$376,MATCH(ROWS($A$7:$A280),'Agenda 2026'!$N$2:$N$376,0)),"")</f>
        <v/>
      </c>
      <c r="J280" s="47"/>
      <c r="K280" s="48" t="str">
        <f t="array" ref="K280">IFERROR(HYPERLINK(INDEX('Agenda 2026'!J$2:J$376,MATCH(ROWS($A$7:$A280),'Agenda 2026'!$N$2:$N$376,0)),"Ver fuente ↗"),"")</f>
        <v/>
      </c>
      <c r="L280" s="49" t="str">
        <f t="array" ref="L280">IFERROR(INDEX('Agenda 2026'!K$2:K$376,MATCH(ROWS($A$7:$A280),'Agenda 2026'!$N$2:$N$376,0)),"")</f>
        <v/>
      </c>
      <c r="M280" s="50" t="str">
        <f t="array" ref="M280">IFERROR(INDEX('Agenda 2026'!O$2:O$376,MATCH(ROWS($A$7:$A280),'Agenda 2026'!$N$2:$N$376,0)),"")</f>
        <v/>
      </c>
    </row>
    <row r="281" spans="1:13" ht="42" customHeight="1" x14ac:dyDescent="0.35">
      <c r="A281" s="42" t="str">
        <f t="array" ref="A281">IFERROR(INDEX('Agenda 2026'!A$2:A$376,MATCH(ROWS($A$7:$A281),'Agenda 2026'!$N$2:$N$376,0)),"")</f>
        <v/>
      </c>
      <c r="B281" s="43" t="str">
        <f t="array" ref="B281">IFERROR(INDEX('Agenda 2026'!P$2:P$376,MATCH(ROWS($A$7:$A281),'Agenda 2026'!$N$2:$N$376,0)),"")</f>
        <v/>
      </c>
      <c r="C281" s="44" t="str">
        <f t="array" ref="C281">IFERROR(INDEX('Agenda 2026'!B$2:B$376,MATCH(ROWS($A$7:$A281),'Agenda 2026'!$N$2:$N$376,0)),"")</f>
        <v/>
      </c>
      <c r="D281" s="44" t="str">
        <f t="array" ref="D281">IFERROR(INDEX('Agenda 2026'!C$2:C$376,MATCH(ROWS($A$7:$A281),'Agenda 2026'!$N$2:$N$376,0)),"")</f>
        <v/>
      </c>
      <c r="E281" s="44" t="str">
        <f t="array" ref="E281">IFERROR(INDEX('Agenda 2026'!D$2:D$376,MATCH(ROWS($A$7:$A281),'Agenda 2026'!$N$2:$N$376,0)),"")</f>
        <v/>
      </c>
      <c r="F281" s="45" t="str">
        <f t="array" ref="F281">IFERROR(INDEX('Agenda 2026'!E$2:E$376,MATCH(ROWS($A$7:$A281),'Agenda 2026'!$N$2:$N$376,0)),"")</f>
        <v/>
      </c>
      <c r="G281" s="44" t="str">
        <f t="array" ref="G281">IFERROR(INDEX('Agenda 2026'!F$2:F$376,MATCH(ROWS($A$7:$A281),'Agenda 2026'!$N$2:$N$376,0)),"")</f>
        <v/>
      </c>
      <c r="H281" s="44" t="str">
        <f t="array" ref="H281">IFERROR(INDEX('Agenda 2026'!G$2:G$376,MATCH(ROWS($A$7:$A281),'Agenda 2026'!$N$2:$N$376,0)),"")</f>
        <v/>
      </c>
      <c r="I281" s="46" t="str">
        <f t="array" ref="I281">IFERROR(INDEX('Agenda 2026'!H$2:H$376,MATCH(ROWS($A$7:$A281),'Agenda 2026'!$N$2:$N$376,0)),"")</f>
        <v/>
      </c>
      <c r="J281" s="47"/>
      <c r="K281" s="48" t="str">
        <f t="array" ref="K281">IFERROR(HYPERLINK(INDEX('Agenda 2026'!J$2:J$376,MATCH(ROWS($A$7:$A281),'Agenda 2026'!$N$2:$N$376,0)),"Ver fuente ↗"),"")</f>
        <v/>
      </c>
      <c r="L281" s="49" t="str">
        <f t="array" ref="L281">IFERROR(INDEX('Agenda 2026'!K$2:K$376,MATCH(ROWS($A$7:$A281),'Agenda 2026'!$N$2:$N$376,0)),"")</f>
        <v/>
      </c>
      <c r="M281" s="50" t="str">
        <f t="array" ref="M281">IFERROR(INDEX('Agenda 2026'!O$2:O$376,MATCH(ROWS($A$7:$A281),'Agenda 2026'!$N$2:$N$376,0)),"")</f>
        <v/>
      </c>
    </row>
    <row r="282" spans="1:13" ht="42" customHeight="1" x14ac:dyDescent="0.35">
      <c r="A282" s="42" t="str">
        <f t="array" ref="A282">IFERROR(INDEX('Agenda 2026'!A$2:A$376,MATCH(ROWS($A$7:$A282),'Agenda 2026'!$N$2:$N$376,0)),"")</f>
        <v/>
      </c>
      <c r="B282" s="43" t="str">
        <f t="array" ref="B282">IFERROR(INDEX('Agenda 2026'!P$2:P$376,MATCH(ROWS($A$7:$A282),'Agenda 2026'!$N$2:$N$376,0)),"")</f>
        <v/>
      </c>
      <c r="C282" s="44" t="str">
        <f t="array" ref="C282">IFERROR(INDEX('Agenda 2026'!B$2:B$376,MATCH(ROWS($A$7:$A282),'Agenda 2026'!$N$2:$N$376,0)),"")</f>
        <v/>
      </c>
      <c r="D282" s="44" t="str">
        <f t="array" ref="D282">IFERROR(INDEX('Agenda 2026'!C$2:C$376,MATCH(ROWS($A$7:$A282),'Agenda 2026'!$N$2:$N$376,0)),"")</f>
        <v/>
      </c>
      <c r="E282" s="44" t="str">
        <f t="array" ref="E282">IFERROR(INDEX('Agenda 2026'!D$2:D$376,MATCH(ROWS($A$7:$A282),'Agenda 2026'!$N$2:$N$376,0)),"")</f>
        <v/>
      </c>
      <c r="F282" s="45" t="str">
        <f t="array" ref="F282">IFERROR(INDEX('Agenda 2026'!E$2:E$376,MATCH(ROWS($A$7:$A282),'Agenda 2026'!$N$2:$N$376,0)),"")</f>
        <v/>
      </c>
      <c r="G282" s="44" t="str">
        <f t="array" ref="G282">IFERROR(INDEX('Agenda 2026'!F$2:F$376,MATCH(ROWS($A$7:$A282),'Agenda 2026'!$N$2:$N$376,0)),"")</f>
        <v/>
      </c>
      <c r="H282" s="44" t="str">
        <f t="array" ref="H282">IFERROR(INDEX('Agenda 2026'!G$2:G$376,MATCH(ROWS($A$7:$A282),'Agenda 2026'!$N$2:$N$376,0)),"")</f>
        <v/>
      </c>
      <c r="I282" s="46" t="str">
        <f t="array" ref="I282">IFERROR(INDEX('Agenda 2026'!H$2:H$376,MATCH(ROWS($A$7:$A282),'Agenda 2026'!$N$2:$N$376,0)),"")</f>
        <v/>
      </c>
      <c r="J282" s="47"/>
      <c r="K282" s="48" t="str">
        <f t="array" ref="K282">IFERROR(HYPERLINK(INDEX('Agenda 2026'!J$2:J$376,MATCH(ROWS($A$7:$A282),'Agenda 2026'!$N$2:$N$376,0)),"Ver fuente ↗"),"")</f>
        <v/>
      </c>
      <c r="L282" s="49" t="str">
        <f t="array" ref="L282">IFERROR(INDEX('Agenda 2026'!K$2:K$376,MATCH(ROWS($A$7:$A282),'Agenda 2026'!$N$2:$N$376,0)),"")</f>
        <v/>
      </c>
      <c r="M282" s="50" t="str">
        <f t="array" ref="M282">IFERROR(INDEX('Agenda 2026'!O$2:O$376,MATCH(ROWS($A$7:$A282),'Agenda 2026'!$N$2:$N$376,0)),"")</f>
        <v/>
      </c>
    </row>
    <row r="283" spans="1:13" ht="42" customHeight="1" x14ac:dyDescent="0.35">
      <c r="A283" s="42" t="str">
        <f t="array" ref="A283">IFERROR(INDEX('Agenda 2026'!A$2:A$376,MATCH(ROWS($A$7:$A283),'Agenda 2026'!$N$2:$N$376,0)),"")</f>
        <v/>
      </c>
      <c r="B283" s="43" t="str">
        <f t="array" ref="B283">IFERROR(INDEX('Agenda 2026'!P$2:P$376,MATCH(ROWS($A$7:$A283),'Agenda 2026'!$N$2:$N$376,0)),"")</f>
        <v/>
      </c>
      <c r="C283" s="44" t="str">
        <f t="array" ref="C283">IFERROR(INDEX('Agenda 2026'!B$2:B$376,MATCH(ROWS($A$7:$A283),'Agenda 2026'!$N$2:$N$376,0)),"")</f>
        <v/>
      </c>
      <c r="D283" s="44" t="str">
        <f t="array" ref="D283">IFERROR(INDEX('Agenda 2026'!C$2:C$376,MATCH(ROWS($A$7:$A283),'Agenda 2026'!$N$2:$N$376,0)),"")</f>
        <v/>
      </c>
      <c r="E283" s="44" t="str">
        <f t="array" ref="E283">IFERROR(INDEX('Agenda 2026'!D$2:D$376,MATCH(ROWS($A$7:$A283),'Agenda 2026'!$N$2:$N$376,0)),"")</f>
        <v/>
      </c>
      <c r="F283" s="45" t="str">
        <f t="array" ref="F283">IFERROR(INDEX('Agenda 2026'!E$2:E$376,MATCH(ROWS($A$7:$A283),'Agenda 2026'!$N$2:$N$376,0)),"")</f>
        <v/>
      </c>
      <c r="G283" s="44" t="str">
        <f t="array" ref="G283">IFERROR(INDEX('Agenda 2026'!F$2:F$376,MATCH(ROWS($A$7:$A283),'Agenda 2026'!$N$2:$N$376,0)),"")</f>
        <v/>
      </c>
      <c r="H283" s="44" t="str">
        <f t="array" ref="H283">IFERROR(INDEX('Agenda 2026'!G$2:G$376,MATCH(ROWS($A$7:$A283),'Agenda 2026'!$N$2:$N$376,0)),"")</f>
        <v/>
      </c>
      <c r="I283" s="46" t="str">
        <f t="array" ref="I283">IFERROR(INDEX('Agenda 2026'!H$2:H$376,MATCH(ROWS($A$7:$A283),'Agenda 2026'!$N$2:$N$376,0)),"")</f>
        <v/>
      </c>
      <c r="J283" s="47"/>
      <c r="K283" s="48" t="str">
        <f t="array" ref="K283">IFERROR(HYPERLINK(INDEX('Agenda 2026'!J$2:J$376,MATCH(ROWS($A$7:$A283),'Agenda 2026'!$N$2:$N$376,0)),"Ver fuente ↗"),"")</f>
        <v/>
      </c>
      <c r="L283" s="49" t="str">
        <f t="array" ref="L283">IFERROR(INDEX('Agenda 2026'!K$2:K$376,MATCH(ROWS($A$7:$A283),'Agenda 2026'!$N$2:$N$376,0)),"")</f>
        <v/>
      </c>
      <c r="M283" s="50" t="str">
        <f t="array" ref="M283">IFERROR(INDEX('Agenda 2026'!O$2:O$376,MATCH(ROWS($A$7:$A283),'Agenda 2026'!$N$2:$N$376,0)),"")</f>
        <v/>
      </c>
    </row>
    <row r="284" spans="1:13" ht="42" customHeight="1" x14ac:dyDescent="0.35">
      <c r="A284" s="42" t="str">
        <f t="array" ref="A284">IFERROR(INDEX('Agenda 2026'!A$2:A$376,MATCH(ROWS($A$7:$A284),'Agenda 2026'!$N$2:$N$376,0)),"")</f>
        <v/>
      </c>
      <c r="B284" s="43" t="str">
        <f t="array" ref="B284">IFERROR(INDEX('Agenda 2026'!P$2:P$376,MATCH(ROWS($A$7:$A284),'Agenda 2026'!$N$2:$N$376,0)),"")</f>
        <v/>
      </c>
      <c r="C284" s="44" t="str">
        <f t="array" ref="C284">IFERROR(INDEX('Agenda 2026'!B$2:B$376,MATCH(ROWS($A$7:$A284),'Agenda 2026'!$N$2:$N$376,0)),"")</f>
        <v/>
      </c>
      <c r="D284" s="44" t="str">
        <f t="array" ref="D284">IFERROR(INDEX('Agenda 2026'!C$2:C$376,MATCH(ROWS($A$7:$A284),'Agenda 2026'!$N$2:$N$376,0)),"")</f>
        <v/>
      </c>
      <c r="E284" s="44" t="str">
        <f t="array" ref="E284">IFERROR(INDEX('Agenda 2026'!D$2:D$376,MATCH(ROWS($A$7:$A284),'Agenda 2026'!$N$2:$N$376,0)),"")</f>
        <v/>
      </c>
      <c r="F284" s="45" t="str">
        <f t="array" ref="F284">IFERROR(INDEX('Agenda 2026'!E$2:E$376,MATCH(ROWS($A$7:$A284),'Agenda 2026'!$N$2:$N$376,0)),"")</f>
        <v/>
      </c>
      <c r="G284" s="44" t="str">
        <f t="array" ref="G284">IFERROR(INDEX('Agenda 2026'!F$2:F$376,MATCH(ROWS($A$7:$A284),'Agenda 2026'!$N$2:$N$376,0)),"")</f>
        <v/>
      </c>
      <c r="H284" s="44" t="str">
        <f t="array" ref="H284">IFERROR(INDEX('Agenda 2026'!G$2:G$376,MATCH(ROWS($A$7:$A284),'Agenda 2026'!$N$2:$N$376,0)),"")</f>
        <v/>
      </c>
      <c r="I284" s="46" t="str">
        <f t="array" ref="I284">IFERROR(INDEX('Agenda 2026'!H$2:H$376,MATCH(ROWS($A$7:$A284),'Agenda 2026'!$N$2:$N$376,0)),"")</f>
        <v/>
      </c>
      <c r="J284" s="47"/>
      <c r="K284" s="48" t="str">
        <f t="array" ref="K284">IFERROR(HYPERLINK(INDEX('Agenda 2026'!J$2:J$376,MATCH(ROWS($A$7:$A284),'Agenda 2026'!$N$2:$N$376,0)),"Ver fuente ↗"),"")</f>
        <v/>
      </c>
      <c r="L284" s="49" t="str">
        <f t="array" ref="L284">IFERROR(INDEX('Agenda 2026'!K$2:K$376,MATCH(ROWS($A$7:$A284),'Agenda 2026'!$N$2:$N$376,0)),"")</f>
        <v/>
      </c>
      <c r="M284" s="50" t="str">
        <f t="array" ref="M284">IFERROR(INDEX('Agenda 2026'!O$2:O$376,MATCH(ROWS($A$7:$A284),'Agenda 2026'!$N$2:$N$376,0)),"")</f>
        <v/>
      </c>
    </row>
    <row r="285" spans="1:13" ht="42" customHeight="1" x14ac:dyDescent="0.35">
      <c r="A285" s="42" t="str">
        <f t="array" ref="A285">IFERROR(INDEX('Agenda 2026'!A$2:A$376,MATCH(ROWS($A$7:$A285),'Agenda 2026'!$N$2:$N$376,0)),"")</f>
        <v/>
      </c>
      <c r="B285" s="43" t="str">
        <f t="array" ref="B285">IFERROR(INDEX('Agenda 2026'!P$2:P$376,MATCH(ROWS($A$7:$A285),'Agenda 2026'!$N$2:$N$376,0)),"")</f>
        <v/>
      </c>
      <c r="C285" s="44" t="str">
        <f t="array" ref="C285">IFERROR(INDEX('Agenda 2026'!B$2:B$376,MATCH(ROWS($A$7:$A285),'Agenda 2026'!$N$2:$N$376,0)),"")</f>
        <v/>
      </c>
      <c r="D285" s="44" t="str">
        <f t="array" ref="D285">IFERROR(INDEX('Agenda 2026'!C$2:C$376,MATCH(ROWS($A$7:$A285),'Agenda 2026'!$N$2:$N$376,0)),"")</f>
        <v/>
      </c>
      <c r="E285" s="44" t="str">
        <f t="array" ref="E285">IFERROR(INDEX('Agenda 2026'!D$2:D$376,MATCH(ROWS($A$7:$A285),'Agenda 2026'!$N$2:$N$376,0)),"")</f>
        <v/>
      </c>
      <c r="F285" s="45" t="str">
        <f t="array" ref="F285">IFERROR(INDEX('Agenda 2026'!E$2:E$376,MATCH(ROWS($A$7:$A285),'Agenda 2026'!$N$2:$N$376,0)),"")</f>
        <v/>
      </c>
      <c r="G285" s="44" t="str">
        <f t="array" ref="G285">IFERROR(INDEX('Agenda 2026'!F$2:F$376,MATCH(ROWS($A$7:$A285),'Agenda 2026'!$N$2:$N$376,0)),"")</f>
        <v/>
      </c>
      <c r="H285" s="44" t="str">
        <f t="array" ref="H285">IFERROR(INDEX('Agenda 2026'!G$2:G$376,MATCH(ROWS($A$7:$A285),'Agenda 2026'!$N$2:$N$376,0)),"")</f>
        <v/>
      </c>
      <c r="I285" s="46" t="str">
        <f t="array" ref="I285">IFERROR(INDEX('Agenda 2026'!H$2:H$376,MATCH(ROWS($A$7:$A285),'Agenda 2026'!$N$2:$N$376,0)),"")</f>
        <v/>
      </c>
      <c r="J285" s="47"/>
      <c r="K285" s="48" t="str">
        <f t="array" ref="K285">IFERROR(HYPERLINK(INDEX('Agenda 2026'!J$2:J$376,MATCH(ROWS($A$7:$A285),'Agenda 2026'!$N$2:$N$376,0)),"Ver fuente ↗"),"")</f>
        <v/>
      </c>
      <c r="L285" s="49" t="str">
        <f t="array" ref="L285">IFERROR(INDEX('Agenda 2026'!K$2:K$376,MATCH(ROWS($A$7:$A285),'Agenda 2026'!$N$2:$N$376,0)),"")</f>
        <v/>
      </c>
      <c r="M285" s="50" t="str">
        <f t="array" ref="M285">IFERROR(INDEX('Agenda 2026'!O$2:O$376,MATCH(ROWS($A$7:$A285),'Agenda 2026'!$N$2:$N$376,0)),"")</f>
        <v/>
      </c>
    </row>
    <row r="286" spans="1:13" ht="42" customHeight="1" x14ac:dyDescent="0.35">
      <c r="A286" s="42" t="str">
        <f t="array" ref="A286">IFERROR(INDEX('Agenda 2026'!A$2:A$376,MATCH(ROWS($A$7:$A286),'Agenda 2026'!$N$2:$N$376,0)),"")</f>
        <v/>
      </c>
      <c r="B286" s="43" t="str">
        <f t="array" ref="B286">IFERROR(INDEX('Agenda 2026'!P$2:P$376,MATCH(ROWS($A$7:$A286),'Agenda 2026'!$N$2:$N$376,0)),"")</f>
        <v/>
      </c>
      <c r="C286" s="44" t="str">
        <f t="array" ref="C286">IFERROR(INDEX('Agenda 2026'!B$2:B$376,MATCH(ROWS($A$7:$A286),'Agenda 2026'!$N$2:$N$376,0)),"")</f>
        <v/>
      </c>
      <c r="D286" s="44" t="str">
        <f t="array" ref="D286">IFERROR(INDEX('Agenda 2026'!C$2:C$376,MATCH(ROWS($A$7:$A286),'Agenda 2026'!$N$2:$N$376,0)),"")</f>
        <v/>
      </c>
      <c r="E286" s="44" t="str">
        <f t="array" ref="E286">IFERROR(INDEX('Agenda 2026'!D$2:D$376,MATCH(ROWS($A$7:$A286),'Agenda 2026'!$N$2:$N$376,0)),"")</f>
        <v/>
      </c>
      <c r="F286" s="45" t="str">
        <f t="array" ref="F286">IFERROR(INDEX('Agenda 2026'!E$2:E$376,MATCH(ROWS($A$7:$A286),'Agenda 2026'!$N$2:$N$376,0)),"")</f>
        <v/>
      </c>
      <c r="G286" s="44" t="str">
        <f t="array" ref="G286">IFERROR(INDEX('Agenda 2026'!F$2:F$376,MATCH(ROWS($A$7:$A286),'Agenda 2026'!$N$2:$N$376,0)),"")</f>
        <v/>
      </c>
      <c r="H286" s="44" t="str">
        <f t="array" ref="H286">IFERROR(INDEX('Agenda 2026'!G$2:G$376,MATCH(ROWS($A$7:$A286),'Agenda 2026'!$N$2:$N$376,0)),"")</f>
        <v/>
      </c>
      <c r="I286" s="46" t="str">
        <f t="array" ref="I286">IFERROR(INDEX('Agenda 2026'!H$2:H$376,MATCH(ROWS($A$7:$A286),'Agenda 2026'!$N$2:$N$376,0)),"")</f>
        <v/>
      </c>
      <c r="J286" s="47"/>
      <c r="K286" s="48" t="str">
        <f t="array" ref="K286">IFERROR(HYPERLINK(INDEX('Agenda 2026'!J$2:J$376,MATCH(ROWS($A$7:$A286),'Agenda 2026'!$N$2:$N$376,0)),"Ver fuente ↗"),"")</f>
        <v/>
      </c>
      <c r="L286" s="49" t="str">
        <f t="array" ref="L286">IFERROR(INDEX('Agenda 2026'!K$2:K$376,MATCH(ROWS($A$7:$A286),'Agenda 2026'!$N$2:$N$376,0)),"")</f>
        <v/>
      </c>
      <c r="M286" s="50" t="str">
        <f t="array" ref="M286">IFERROR(INDEX('Agenda 2026'!O$2:O$376,MATCH(ROWS($A$7:$A286),'Agenda 2026'!$N$2:$N$376,0)),"")</f>
        <v/>
      </c>
    </row>
    <row r="287" spans="1:13" ht="42" customHeight="1" x14ac:dyDescent="0.35">
      <c r="A287" s="42" t="str">
        <f t="array" ref="A287">IFERROR(INDEX('Agenda 2026'!A$2:A$376,MATCH(ROWS($A$7:$A287),'Agenda 2026'!$N$2:$N$376,0)),"")</f>
        <v/>
      </c>
      <c r="B287" s="43" t="str">
        <f t="array" ref="B287">IFERROR(INDEX('Agenda 2026'!P$2:P$376,MATCH(ROWS($A$7:$A287),'Agenda 2026'!$N$2:$N$376,0)),"")</f>
        <v/>
      </c>
      <c r="C287" s="44" t="str">
        <f t="array" ref="C287">IFERROR(INDEX('Agenda 2026'!B$2:B$376,MATCH(ROWS($A$7:$A287),'Agenda 2026'!$N$2:$N$376,0)),"")</f>
        <v/>
      </c>
      <c r="D287" s="44" t="str">
        <f t="array" ref="D287">IFERROR(INDEX('Agenda 2026'!C$2:C$376,MATCH(ROWS($A$7:$A287),'Agenda 2026'!$N$2:$N$376,0)),"")</f>
        <v/>
      </c>
      <c r="E287" s="44" t="str">
        <f t="array" ref="E287">IFERROR(INDEX('Agenda 2026'!D$2:D$376,MATCH(ROWS($A$7:$A287),'Agenda 2026'!$N$2:$N$376,0)),"")</f>
        <v/>
      </c>
      <c r="F287" s="45" t="str">
        <f t="array" ref="F287">IFERROR(INDEX('Agenda 2026'!E$2:E$376,MATCH(ROWS($A$7:$A287),'Agenda 2026'!$N$2:$N$376,0)),"")</f>
        <v/>
      </c>
      <c r="G287" s="44" t="str">
        <f t="array" ref="G287">IFERROR(INDEX('Agenda 2026'!F$2:F$376,MATCH(ROWS($A$7:$A287),'Agenda 2026'!$N$2:$N$376,0)),"")</f>
        <v/>
      </c>
      <c r="H287" s="44" t="str">
        <f t="array" ref="H287">IFERROR(INDEX('Agenda 2026'!G$2:G$376,MATCH(ROWS($A$7:$A287),'Agenda 2026'!$N$2:$N$376,0)),"")</f>
        <v/>
      </c>
      <c r="I287" s="46" t="str">
        <f t="array" ref="I287">IFERROR(INDEX('Agenda 2026'!H$2:H$376,MATCH(ROWS($A$7:$A287),'Agenda 2026'!$N$2:$N$376,0)),"")</f>
        <v/>
      </c>
      <c r="J287" s="47"/>
      <c r="K287" s="48" t="str">
        <f t="array" ref="K287">IFERROR(HYPERLINK(INDEX('Agenda 2026'!J$2:J$376,MATCH(ROWS($A$7:$A287),'Agenda 2026'!$N$2:$N$376,0)),"Ver fuente ↗"),"")</f>
        <v/>
      </c>
      <c r="L287" s="49" t="str">
        <f t="array" ref="L287">IFERROR(INDEX('Agenda 2026'!K$2:K$376,MATCH(ROWS($A$7:$A287),'Agenda 2026'!$N$2:$N$376,0)),"")</f>
        <v/>
      </c>
      <c r="M287" s="50" t="str">
        <f t="array" ref="M287">IFERROR(INDEX('Agenda 2026'!O$2:O$376,MATCH(ROWS($A$7:$A287),'Agenda 2026'!$N$2:$N$376,0)),"")</f>
        <v/>
      </c>
    </row>
    <row r="288" spans="1:13" ht="42" customHeight="1" x14ac:dyDescent="0.35">
      <c r="A288" s="42" t="str">
        <f t="array" ref="A288">IFERROR(INDEX('Agenda 2026'!A$2:A$376,MATCH(ROWS($A$7:$A288),'Agenda 2026'!$N$2:$N$376,0)),"")</f>
        <v/>
      </c>
      <c r="B288" s="43" t="str">
        <f t="array" ref="B288">IFERROR(INDEX('Agenda 2026'!P$2:P$376,MATCH(ROWS($A$7:$A288),'Agenda 2026'!$N$2:$N$376,0)),"")</f>
        <v/>
      </c>
      <c r="C288" s="44" t="str">
        <f t="array" ref="C288">IFERROR(INDEX('Agenda 2026'!B$2:B$376,MATCH(ROWS($A$7:$A288),'Agenda 2026'!$N$2:$N$376,0)),"")</f>
        <v/>
      </c>
      <c r="D288" s="44" t="str">
        <f t="array" ref="D288">IFERROR(INDEX('Agenda 2026'!C$2:C$376,MATCH(ROWS($A$7:$A288),'Agenda 2026'!$N$2:$N$376,0)),"")</f>
        <v/>
      </c>
      <c r="E288" s="44" t="str">
        <f t="array" ref="E288">IFERROR(INDEX('Agenda 2026'!D$2:D$376,MATCH(ROWS($A$7:$A288),'Agenda 2026'!$N$2:$N$376,0)),"")</f>
        <v/>
      </c>
      <c r="F288" s="45" t="str">
        <f t="array" ref="F288">IFERROR(INDEX('Agenda 2026'!E$2:E$376,MATCH(ROWS($A$7:$A288),'Agenda 2026'!$N$2:$N$376,0)),"")</f>
        <v/>
      </c>
      <c r="G288" s="44" t="str">
        <f t="array" ref="G288">IFERROR(INDEX('Agenda 2026'!F$2:F$376,MATCH(ROWS($A$7:$A288),'Agenda 2026'!$N$2:$N$376,0)),"")</f>
        <v/>
      </c>
      <c r="H288" s="44" t="str">
        <f t="array" ref="H288">IFERROR(INDEX('Agenda 2026'!G$2:G$376,MATCH(ROWS($A$7:$A288),'Agenda 2026'!$N$2:$N$376,0)),"")</f>
        <v/>
      </c>
      <c r="I288" s="46" t="str">
        <f t="array" ref="I288">IFERROR(INDEX('Agenda 2026'!H$2:H$376,MATCH(ROWS($A$7:$A288),'Agenda 2026'!$N$2:$N$376,0)),"")</f>
        <v/>
      </c>
      <c r="J288" s="47"/>
      <c r="K288" s="48" t="str">
        <f t="array" ref="K288">IFERROR(HYPERLINK(INDEX('Agenda 2026'!J$2:J$376,MATCH(ROWS($A$7:$A288),'Agenda 2026'!$N$2:$N$376,0)),"Ver fuente ↗"),"")</f>
        <v/>
      </c>
      <c r="L288" s="49" t="str">
        <f t="array" ref="L288">IFERROR(INDEX('Agenda 2026'!K$2:K$376,MATCH(ROWS($A$7:$A288),'Agenda 2026'!$N$2:$N$376,0)),"")</f>
        <v/>
      </c>
      <c r="M288" s="50" t="str">
        <f t="array" ref="M288">IFERROR(INDEX('Agenda 2026'!O$2:O$376,MATCH(ROWS($A$7:$A288),'Agenda 2026'!$N$2:$N$376,0)),"")</f>
        <v/>
      </c>
    </row>
    <row r="289" spans="1:13" ht="42" customHeight="1" x14ac:dyDescent="0.35">
      <c r="A289" s="42" t="str">
        <f t="array" ref="A289">IFERROR(INDEX('Agenda 2026'!A$2:A$376,MATCH(ROWS($A$7:$A289),'Agenda 2026'!$N$2:$N$376,0)),"")</f>
        <v/>
      </c>
      <c r="B289" s="43" t="str">
        <f t="array" ref="B289">IFERROR(INDEX('Agenda 2026'!P$2:P$376,MATCH(ROWS($A$7:$A289),'Agenda 2026'!$N$2:$N$376,0)),"")</f>
        <v/>
      </c>
      <c r="C289" s="44" t="str">
        <f t="array" ref="C289">IFERROR(INDEX('Agenda 2026'!B$2:B$376,MATCH(ROWS($A$7:$A289),'Agenda 2026'!$N$2:$N$376,0)),"")</f>
        <v/>
      </c>
      <c r="D289" s="44" t="str">
        <f t="array" ref="D289">IFERROR(INDEX('Agenda 2026'!C$2:C$376,MATCH(ROWS($A$7:$A289),'Agenda 2026'!$N$2:$N$376,0)),"")</f>
        <v/>
      </c>
      <c r="E289" s="44" t="str">
        <f t="array" ref="E289">IFERROR(INDEX('Agenda 2026'!D$2:D$376,MATCH(ROWS($A$7:$A289),'Agenda 2026'!$N$2:$N$376,0)),"")</f>
        <v/>
      </c>
      <c r="F289" s="45" t="str">
        <f t="array" ref="F289">IFERROR(INDEX('Agenda 2026'!E$2:E$376,MATCH(ROWS($A$7:$A289),'Agenda 2026'!$N$2:$N$376,0)),"")</f>
        <v/>
      </c>
      <c r="G289" s="44" t="str">
        <f t="array" ref="G289">IFERROR(INDEX('Agenda 2026'!F$2:F$376,MATCH(ROWS($A$7:$A289),'Agenda 2026'!$N$2:$N$376,0)),"")</f>
        <v/>
      </c>
      <c r="H289" s="44" t="str">
        <f t="array" ref="H289">IFERROR(INDEX('Agenda 2026'!G$2:G$376,MATCH(ROWS($A$7:$A289),'Agenda 2026'!$N$2:$N$376,0)),"")</f>
        <v/>
      </c>
      <c r="I289" s="46" t="str">
        <f t="array" ref="I289">IFERROR(INDEX('Agenda 2026'!H$2:H$376,MATCH(ROWS($A$7:$A289),'Agenda 2026'!$N$2:$N$376,0)),"")</f>
        <v/>
      </c>
      <c r="J289" s="47"/>
      <c r="K289" s="48" t="str">
        <f t="array" ref="K289">IFERROR(HYPERLINK(INDEX('Agenda 2026'!J$2:J$376,MATCH(ROWS($A$7:$A289),'Agenda 2026'!$N$2:$N$376,0)),"Ver fuente ↗"),"")</f>
        <v/>
      </c>
      <c r="L289" s="49" t="str">
        <f t="array" ref="L289">IFERROR(INDEX('Agenda 2026'!K$2:K$376,MATCH(ROWS($A$7:$A289),'Agenda 2026'!$N$2:$N$376,0)),"")</f>
        <v/>
      </c>
      <c r="M289" s="50" t="str">
        <f t="array" ref="M289">IFERROR(INDEX('Agenda 2026'!O$2:O$376,MATCH(ROWS($A$7:$A289),'Agenda 2026'!$N$2:$N$376,0)),"")</f>
        <v/>
      </c>
    </row>
    <row r="290" spans="1:13" ht="42" customHeight="1" x14ac:dyDescent="0.35">
      <c r="A290" s="42" t="str">
        <f t="array" ref="A290">IFERROR(INDEX('Agenda 2026'!A$2:A$376,MATCH(ROWS($A$7:$A290),'Agenda 2026'!$N$2:$N$376,0)),"")</f>
        <v/>
      </c>
      <c r="B290" s="43" t="str">
        <f t="array" ref="B290">IFERROR(INDEX('Agenda 2026'!P$2:P$376,MATCH(ROWS($A$7:$A290),'Agenda 2026'!$N$2:$N$376,0)),"")</f>
        <v/>
      </c>
      <c r="C290" s="44" t="str">
        <f t="array" ref="C290">IFERROR(INDEX('Agenda 2026'!B$2:B$376,MATCH(ROWS($A$7:$A290),'Agenda 2026'!$N$2:$N$376,0)),"")</f>
        <v/>
      </c>
      <c r="D290" s="44" t="str">
        <f t="array" ref="D290">IFERROR(INDEX('Agenda 2026'!C$2:C$376,MATCH(ROWS($A$7:$A290),'Agenda 2026'!$N$2:$N$376,0)),"")</f>
        <v/>
      </c>
      <c r="E290" s="44" t="str">
        <f t="array" ref="E290">IFERROR(INDEX('Agenda 2026'!D$2:D$376,MATCH(ROWS($A$7:$A290),'Agenda 2026'!$N$2:$N$376,0)),"")</f>
        <v/>
      </c>
      <c r="F290" s="45" t="str">
        <f t="array" ref="F290">IFERROR(INDEX('Agenda 2026'!E$2:E$376,MATCH(ROWS($A$7:$A290),'Agenda 2026'!$N$2:$N$376,0)),"")</f>
        <v/>
      </c>
      <c r="G290" s="44" t="str">
        <f t="array" ref="G290">IFERROR(INDEX('Agenda 2026'!F$2:F$376,MATCH(ROWS($A$7:$A290),'Agenda 2026'!$N$2:$N$376,0)),"")</f>
        <v/>
      </c>
      <c r="H290" s="44" t="str">
        <f t="array" ref="H290">IFERROR(INDEX('Agenda 2026'!G$2:G$376,MATCH(ROWS($A$7:$A290),'Agenda 2026'!$N$2:$N$376,0)),"")</f>
        <v/>
      </c>
      <c r="I290" s="46" t="str">
        <f t="array" ref="I290">IFERROR(INDEX('Agenda 2026'!H$2:H$376,MATCH(ROWS($A$7:$A290),'Agenda 2026'!$N$2:$N$376,0)),"")</f>
        <v/>
      </c>
      <c r="J290" s="47"/>
      <c r="K290" s="48" t="str">
        <f t="array" ref="K290">IFERROR(HYPERLINK(INDEX('Agenda 2026'!J$2:J$376,MATCH(ROWS($A$7:$A290),'Agenda 2026'!$N$2:$N$376,0)),"Ver fuente ↗"),"")</f>
        <v/>
      </c>
      <c r="L290" s="49" t="str">
        <f t="array" ref="L290">IFERROR(INDEX('Agenda 2026'!K$2:K$376,MATCH(ROWS($A$7:$A290),'Agenda 2026'!$N$2:$N$376,0)),"")</f>
        <v/>
      </c>
      <c r="M290" s="50" t="str">
        <f t="array" ref="M290">IFERROR(INDEX('Agenda 2026'!O$2:O$376,MATCH(ROWS($A$7:$A290),'Agenda 2026'!$N$2:$N$376,0)),"")</f>
        <v/>
      </c>
    </row>
    <row r="291" spans="1:13" ht="42" customHeight="1" x14ac:dyDescent="0.35">
      <c r="A291" s="42" t="str">
        <f t="array" ref="A291">IFERROR(INDEX('Agenda 2026'!A$2:A$376,MATCH(ROWS($A$7:$A291),'Agenda 2026'!$N$2:$N$376,0)),"")</f>
        <v/>
      </c>
      <c r="B291" s="43" t="str">
        <f t="array" ref="B291">IFERROR(INDEX('Agenda 2026'!P$2:P$376,MATCH(ROWS($A$7:$A291),'Agenda 2026'!$N$2:$N$376,0)),"")</f>
        <v/>
      </c>
      <c r="C291" s="44" t="str">
        <f t="array" ref="C291">IFERROR(INDEX('Agenda 2026'!B$2:B$376,MATCH(ROWS($A$7:$A291),'Agenda 2026'!$N$2:$N$376,0)),"")</f>
        <v/>
      </c>
      <c r="D291" s="44" t="str">
        <f t="array" ref="D291">IFERROR(INDEX('Agenda 2026'!C$2:C$376,MATCH(ROWS($A$7:$A291),'Agenda 2026'!$N$2:$N$376,0)),"")</f>
        <v/>
      </c>
      <c r="E291" s="44" t="str">
        <f t="array" ref="E291">IFERROR(INDEX('Agenda 2026'!D$2:D$376,MATCH(ROWS($A$7:$A291),'Agenda 2026'!$N$2:$N$376,0)),"")</f>
        <v/>
      </c>
      <c r="F291" s="45" t="str">
        <f t="array" ref="F291">IFERROR(INDEX('Agenda 2026'!E$2:E$376,MATCH(ROWS($A$7:$A291),'Agenda 2026'!$N$2:$N$376,0)),"")</f>
        <v/>
      </c>
      <c r="G291" s="44" t="str">
        <f t="array" ref="G291">IFERROR(INDEX('Agenda 2026'!F$2:F$376,MATCH(ROWS($A$7:$A291),'Agenda 2026'!$N$2:$N$376,0)),"")</f>
        <v/>
      </c>
      <c r="H291" s="44" t="str">
        <f t="array" ref="H291">IFERROR(INDEX('Agenda 2026'!G$2:G$376,MATCH(ROWS($A$7:$A291),'Agenda 2026'!$N$2:$N$376,0)),"")</f>
        <v/>
      </c>
      <c r="I291" s="46" t="str">
        <f t="array" ref="I291">IFERROR(INDEX('Agenda 2026'!H$2:H$376,MATCH(ROWS($A$7:$A291),'Agenda 2026'!$N$2:$N$376,0)),"")</f>
        <v/>
      </c>
      <c r="J291" s="47"/>
      <c r="K291" s="48" t="str">
        <f t="array" ref="K291">IFERROR(HYPERLINK(INDEX('Agenda 2026'!J$2:J$376,MATCH(ROWS($A$7:$A291),'Agenda 2026'!$N$2:$N$376,0)),"Ver fuente ↗"),"")</f>
        <v/>
      </c>
      <c r="L291" s="49" t="str">
        <f t="array" ref="L291">IFERROR(INDEX('Agenda 2026'!K$2:K$376,MATCH(ROWS($A$7:$A291),'Agenda 2026'!$N$2:$N$376,0)),"")</f>
        <v/>
      </c>
      <c r="M291" s="50" t="str">
        <f t="array" ref="M291">IFERROR(INDEX('Agenda 2026'!O$2:O$376,MATCH(ROWS($A$7:$A291),'Agenda 2026'!$N$2:$N$376,0)),"")</f>
        <v/>
      </c>
    </row>
    <row r="292" spans="1:13" ht="42" customHeight="1" x14ac:dyDescent="0.35">
      <c r="A292" s="42" t="str">
        <f t="array" ref="A292">IFERROR(INDEX('Agenda 2026'!A$2:A$376,MATCH(ROWS($A$7:$A292),'Agenda 2026'!$N$2:$N$376,0)),"")</f>
        <v/>
      </c>
      <c r="B292" s="43" t="str">
        <f t="array" ref="B292">IFERROR(INDEX('Agenda 2026'!P$2:P$376,MATCH(ROWS($A$7:$A292),'Agenda 2026'!$N$2:$N$376,0)),"")</f>
        <v/>
      </c>
      <c r="C292" s="44" t="str">
        <f t="array" ref="C292">IFERROR(INDEX('Agenda 2026'!B$2:B$376,MATCH(ROWS($A$7:$A292),'Agenda 2026'!$N$2:$N$376,0)),"")</f>
        <v/>
      </c>
      <c r="D292" s="44" t="str">
        <f t="array" ref="D292">IFERROR(INDEX('Agenda 2026'!C$2:C$376,MATCH(ROWS($A$7:$A292),'Agenda 2026'!$N$2:$N$376,0)),"")</f>
        <v/>
      </c>
      <c r="E292" s="44" t="str">
        <f t="array" ref="E292">IFERROR(INDEX('Agenda 2026'!D$2:D$376,MATCH(ROWS($A$7:$A292),'Agenda 2026'!$N$2:$N$376,0)),"")</f>
        <v/>
      </c>
      <c r="F292" s="45" t="str">
        <f t="array" ref="F292">IFERROR(INDEX('Agenda 2026'!E$2:E$376,MATCH(ROWS($A$7:$A292),'Agenda 2026'!$N$2:$N$376,0)),"")</f>
        <v/>
      </c>
      <c r="G292" s="44" t="str">
        <f t="array" ref="G292">IFERROR(INDEX('Agenda 2026'!F$2:F$376,MATCH(ROWS($A$7:$A292),'Agenda 2026'!$N$2:$N$376,0)),"")</f>
        <v/>
      </c>
      <c r="H292" s="44" t="str">
        <f t="array" ref="H292">IFERROR(INDEX('Agenda 2026'!G$2:G$376,MATCH(ROWS($A$7:$A292),'Agenda 2026'!$N$2:$N$376,0)),"")</f>
        <v/>
      </c>
      <c r="I292" s="46" t="str">
        <f t="array" ref="I292">IFERROR(INDEX('Agenda 2026'!H$2:H$376,MATCH(ROWS($A$7:$A292),'Agenda 2026'!$N$2:$N$376,0)),"")</f>
        <v/>
      </c>
      <c r="J292" s="47"/>
      <c r="K292" s="48" t="str">
        <f t="array" ref="K292">IFERROR(HYPERLINK(INDEX('Agenda 2026'!J$2:J$376,MATCH(ROWS($A$7:$A292),'Agenda 2026'!$N$2:$N$376,0)),"Ver fuente ↗"),"")</f>
        <v/>
      </c>
      <c r="L292" s="49" t="str">
        <f t="array" ref="L292">IFERROR(INDEX('Agenda 2026'!K$2:K$376,MATCH(ROWS($A$7:$A292),'Agenda 2026'!$N$2:$N$376,0)),"")</f>
        <v/>
      </c>
      <c r="M292" s="50" t="str">
        <f t="array" ref="M292">IFERROR(INDEX('Agenda 2026'!O$2:O$376,MATCH(ROWS($A$7:$A292),'Agenda 2026'!$N$2:$N$376,0)),"")</f>
        <v/>
      </c>
    </row>
    <row r="293" spans="1:13" ht="42" customHeight="1" x14ac:dyDescent="0.35">
      <c r="A293" s="42" t="str">
        <f t="array" ref="A293">IFERROR(INDEX('Agenda 2026'!A$2:A$376,MATCH(ROWS($A$7:$A293),'Agenda 2026'!$N$2:$N$376,0)),"")</f>
        <v/>
      </c>
      <c r="B293" s="43" t="str">
        <f t="array" ref="B293">IFERROR(INDEX('Agenda 2026'!P$2:P$376,MATCH(ROWS($A$7:$A293),'Agenda 2026'!$N$2:$N$376,0)),"")</f>
        <v/>
      </c>
      <c r="C293" s="44" t="str">
        <f t="array" ref="C293">IFERROR(INDEX('Agenda 2026'!B$2:B$376,MATCH(ROWS($A$7:$A293),'Agenda 2026'!$N$2:$N$376,0)),"")</f>
        <v/>
      </c>
      <c r="D293" s="44" t="str">
        <f t="array" ref="D293">IFERROR(INDEX('Agenda 2026'!C$2:C$376,MATCH(ROWS($A$7:$A293),'Agenda 2026'!$N$2:$N$376,0)),"")</f>
        <v/>
      </c>
      <c r="E293" s="44" t="str">
        <f t="array" ref="E293">IFERROR(INDEX('Agenda 2026'!D$2:D$376,MATCH(ROWS($A$7:$A293),'Agenda 2026'!$N$2:$N$376,0)),"")</f>
        <v/>
      </c>
      <c r="F293" s="45" t="str">
        <f t="array" ref="F293">IFERROR(INDEX('Agenda 2026'!E$2:E$376,MATCH(ROWS($A$7:$A293),'Agenda 2026'!$N$2:$N$376,0)),"")</f>
        <v/>
      </c>
      <c r="G293" s="44" t="str">
        <f t="array" ref="G293">IFERROR(INDEX('Agenda 2026'!F$2:F$376,MATCH(ROWS($A$7:$A293),'Agenda 2026'!$N$2:$N$376,0)),"")</f>
        <v/>
      </c>
      <c r="H293" s="44" t="str">
        <f t="array" ref="H293">IFERROR(INDEX('Agenda 2026'!G$2:G$376,MATCH(ROWS($A$7:$A293),'Agenda 2026'!$N$2:$N$376,0)),"")</f>
        <v/>
      </c>
      <c r="I293" s="46" t="str">
        <f t="array" ref="I293">IFERROR(INDEX('Agenda 2026'!H$2:H$376,MATCH(ROWS($A$7:$A293),'Agenda 2026'!$N$2:$N$376,0)),"")</f>
        <v/>
      </c>
      <c r="J293" s="47"/>
      <c r="K293" s="48" t="str">
        <f t="array" ref="K293">IFERROR(HYPERLINK(INDEX('Agenda 2026'!J$2:J$376,MATCH(ROWS($A$7:$A293),'Agenda 2026'!$N$2:$N$376,0)),"Ver fuente ↗"),"")</f>
        <v/>
      </c>
      <c r="L293" s="49" t="str">
        <f t="array" ref="L293">IFERROR(INDEX('Agenda 2026'!K$2:K$376,MATCH(ROWS($A$7:$A293),'Agenda 2026'!$N$2:$N$376,0)),"")</f>
        <v/>
      </c>
      <c r="M293" s="50" t="str">
        <f t="array" ref="M293">IFERROR(INDEX('Agenda 2026'!O$2:O$376,MATCH(ROWS($A$7:$A293),'Agenda 2026'!$N$2:$N$376,0)),"")</f>
        <v/>
      </c>
    </row>
    <row r="294" spans="1:13" ht="42" customHeight="1" x14ac:dyDescent="0.35">
      <c r="A294" s="42" t="str">
        <f t="array" ref="A294">IFERROR(INDEX('Agenda 2026'!A$2:A$376,MATCH(ROWS($A$7:$A294),'Agenda 2026'!$N$2:$N$376,0)),"")</f>
        <v/>
      </c>
      <c r="B294" s="43" t="str">
        <f t="array" ref="B294">IFERROR(INDEX('Agenda 2026'!P$2:P$376,MATCH(ROWS($A$7:$A294),'Agenda 2026'!$N$2:$N$376,0)),"")</f>
        <v/>
      </c>
      <c r="C294" s="44" t="str">
        <f t="array" ref="C294">IFERROR(INDEX('Agenda 2026'!B$2:B$376,MATCH(ROWS($A$7:$A294),'Agenda 2026'!$N$2:$N$376,0)),"")</f>
        <v/>
      </c>
      <c r="D294" s="44" t="str">
        <f t="array" ref="D294">IFERROR(INDEX('Agenda 2026'!C$2:C$376,MATCH(ROWS($A$7:$A294),'Agenda 2026'!$N$2:$N$376,0)),"")</f>
        <v/>
      </c>
      <c r="E294" s="44" t="str">
        <f t="array" ref="E294">IFERROR(INDEX('Agenda 2026'!D$2:D$376,MATCH(ROWS($A$7:$A294),'Agenda 2026'!$N$2:$N$376,0)),"")</f>
        <v/>
      </c>
      <c r="F294" s="45" t="str">
        <f t="array" ref="F294">IFERROR(INDEX('Agenda 2026'!E$2:E$376,MATCH(ROWS($A$7:$A294),'Agenda 2026'!$N$2:$N$376,0)),"")</f>
        <v/>
      </c>
      <c r="G294" s="44" t="str">
        <f t="array" ref="G294">IFERROR(INDEX('Agenda 2026'!F$2:F$376,MATCH(ROWS($A$7:$A294),'Agenda 2026'!$N$2:$N$376,0)),"")</f>
        <v/>
      </c>
      <c r="H294" s="44" t="str">
        <f t="array" ref="H294">IFERROR(INDEX('Agenda 2026'!G$2:G$376,MATCH(ROWS($A$7:$A294),'Agenda 2026'!$N$2:$N$376,0)),"")</f>
        <v/>
      </c>
      <c r="I294" s="46" t="str">
        <f t="array" ref="I294">IFERROR(INDEX('Agenda 2026'!H$2:H$376,MATCH(ROWS($A$7:$A294),'Agenda 2026'!$N$2:$N$376,0)),"")</f>
        <v/>
      </c>
      <c r="J294" s="47"/>
      <c r="K294" s="48" t="str">
        <f t="array" ref="K294">IFERROR(HYPERLINK(INDEX('Agenda 2026'!J$2:J$376,MATCH(ROWS($A$7:$A294),'Agenda 2026'!$N$2:$N$376,0)),"Ver fuente ↗"),"")</f>
        <v/>
      </c>
      <c r="L294" s="49" t="str">
        <f t="array" ref="L294">IFERROR(INDEX('Agenda 2026'!K$2:K$376,MATCH(ROWS($A$7:$A294),'Agenda 2026'!$N$2:$N$376,0)),"")</f>
        <v/>
      </c>
      <c r="M294" s="50" t="str">
        <f t="array" ref="M294">IFERROR(INDEX('Agenda 2026'!O$2:O$376,MATCH(ROWS($A$7:$A294),'Agenda 2026'!$N$2:$N$376,0)),"")</f>
        <v/>
      </c>
    </row>
    <row r="295" spans="1:13" ht="42" customHeight="1" x14ac:dyDescent="0.35">
      <c r="A295" s="42" t="str">
        <f t="array" ref="A295">IFERROR(INDEX('Agenda 2026'!A$2:A$376,MATCH(ROWS($A$7:$A295),'Agenda 2026'!$N$2:$N$376,0)),"")</f>
        <v/>
      </c>
      <c r="B295" s="43" t="str">
        <f t="array" ref="B295">IFERROR(INDEX('Agenda 2026'!P$2:P$376,MATCH(ROWS($A$7:$A295),'Agenda 2026'!$N$2:$N$376,0)),"")</f>
        <v/>
      </c>
      <c r="C295" s="44" t="str">
        <f t="array" ref="C295">IFERROR(INDEX('Agenda 2026'!B$2:B$376,MATCH(ROWS($A$7:$A295),'Agenda 2026'!$N$2:$N$376,0)),"")</f>
        <v/>
      </c>
      <c r="D295" s="44" t="str">
        <f t="array" ref="D295">IFERROR(INDEX('Agenda 2026'!C$2:C$376,MATCH(ROWS($A$7:$A295),'Agenda 2026'!$N$2:$N$376,0)),"")</f>
        <v/>
      </c>
      <c r="E295" s="44" t="str">
        <f t="array" ref="E295">IFERROR(INDEX('Agenda 2026'!D$2:D$376,MATCH(ROWS($A$7:$A295),'Agenda 2026'!$N$2:$N$376,0)),"")</f>
        <v/>
      </c>
      <c r="F295" s="45" t="str">
        <f t="array" ref="F295">IFERROR(INDEX('Agenda 2026'!E$2:E$376,MATCH(ROWS($A$7:$A295),'Agenda 2026'!$N$2:$N$376,0)),"")</f>
        <v/>
      </c>
      <c r="G295" s="44" t="str">
        <f t="array" ref="G295">IFERROR(INDEX('Agenda 2026'!F$2:F$376,MATCH(ROWS($A$7:$A295),'Agenda 2026'!$N$2:$N$376,0)),"")</f>
        <v/>
      </c>
      <c r="H295" s="44" t="str">
        <f t="array" ref="H295">IFERROR(INDEX('Agenda 2026'!G$2:G$376,MATCH(ROWS($A$7:$A295),'Agenda 2026'!$N$2:$N$376,0)),"")</f>
        <v/>
      </c>
      <c r="I295" s="46" t="str">
        <f t="array" ref="I295">IFERROR(INDEX('Agenda 2026'!H$2:H$376,MATCH(ROWS($A$7:$A295),'Agenda 2026'!$N$2:$N$376,0)),"")</f>
        <v/>
      </c>
      <c r="J295" s="47"/>
      <c r="K295" s="48" t="str">
        <f t="array" ref="K295">IFERROR(HYPERLINK(INDEX('Agenda 2026'!J$2:J$376,MATCH(ROWS($A$7:$A295),'Agenda 2026'!$N$2:$N$376,0)),"Ver fuente ↗"),"")</f>
        <v/>
      </c>
      <c r="L295" s="49" t="str">
        <f t="array" ref="L295">IFERROR(INDEX('Agenda 2026'!K$2:K$376,MATCH(ROWS($A$7:$A295),'Agenda 2026'!$N$2:$N$376,0)),"")</f>
        <v/>
      </c>
      <c r="M295" s="50" t="str">
        <f t="array" ref="M295">IFERROR(INDEX('Agenda 2026'!O$2:O$376,MATCH(ROWS($A$7:$A295),'Agenda 2026'!$N$2:$N$376,0)),"")</f>
        <v/>
      </c>
    </row>
    <row r="296" spans="1:13" ht="42" customHeight="1" x14ac:dyDescent="0.35">
      <c r="A296" s="42" t="str">
        <f t="array" ref="A296">IFERROR(INDEX('Agenda 2026'!A$2:A$376,MATCH(ROWS($A$7:$A296),'Agenda 2026'!$N$2:$N$376,0)),"")</f>
        <v/>
      </c>
      <c r="B296" s="43" t="str">
        <f t="array" ref="B296">IFERROR(INDEX('Agenda 2026'!P$2:P$376,MATCH(ROWS($A$7:$A296),'Agenda 2026'!$N$2:$N$376,0)),"")</f>
        <v/>
      </c>
      <c r="C296" s="44" t="str">
        <f t="array" ref="C296">IFERROR(INDEX('Agenda 2026'!B$2:B$376,MATCH(ROWS($A$7:$A296),'Agenda 2026'!$N$2:$N$376,0)),"")</f>
        <v/>
      </c>
      <c r="D296" s="44" t="str">
        <f t="array" ref="D296">IFERROR(INDEX('Agenda 2026'!C$2:C$376,MATCH(ROWS($A$7:$A296),'Agenda 2026'!$N$2:$N$376,0)),"")</f>
        <v/>
      </c>
      <c r="E296" s="44" t="str">
        <f t="array" ref="E296">IFERROR(INDEX('Agenda 2026'!D$2:D$376,MATCH(ROWS($A$7:$A296),'Agenda 2026'!$N$2:$N$376,0)),"")</f>
        <v/>
      </c>
      <c r="F296" s="45" t="str">
        <f t="array" ref="F296">IFERROR(INDEX('Agenda 2026'!E$2:E$376,MATCH(ROWS($A$7:$A296),'Agenda 2026'!$N$2:$N$376,0)),"")</f>
        <v/>
      </c>
      <c r="G296" s="44" t="str">
        <f t="array" ref="G296">IFERROR(INDEX('Agenda 2026'!F$2:F$376,MATCH(ROWS($A$7:$A296),'Agenda 2026'!$N$2:$N$376,0)),"")</f>
        <v/>
      </c>
      <c r="H296" s="44" t="str">
        <f t="array" ref="H296">IFERROR(INDEX('Agenda 2026'!G$2:G$376,MATCH(ROWS($A$7:$A296),'Agenda 2026'!$N$2:$N$376,0)),"")</f>
        <v/>
      </c>
      <c r="I296" s="46" t="str">
        <f t="array" ref="I296">IFERROR(INDEX('Agenda 2026'!H$2:H$376,MATCH(ROWS($A$7:$A296),'Agenda 2026'!$N$2:$N$376,0)),"")</f>
        <v/>
      </c>
      <c r="J296" s="47"/>
      <c r="K296" s="48" t="str">
        <f t="array" ref="K296">IFERROR(HYPERLINK(INDEX('Agenda 2026'!J$2:J$376,MATCH(ROWS($A$7:$A296),'Agenda 2026'!$N$2:$N$376,0)),"Ver fuente ↗"),"")</f>
        <v/>
      </c>
      <c r="L296" s="49" t="str">
        <f t="array" ref="L296">IFERROR(INDEX('Agenda 2026'!K$2:K$376,MATCH(ROWS($A$7:$A296),'Agenda 2026'!$N$2:$N$376,0)),"")</f>
        <v/>
      </c>
      <c r="M296" s="50" t="str">
        <f t="array" ref="M296">IFERROR(INDEX('Agenda 2026'!O$2:O$376,MATCH(ROWS($A$7:$A296),'Agenda 2026'!$N$2:$N$376,0)),"")</f>
        <v/>
      </c>
    </row>
    <row r="297" spans="1:13" ht="42" customHeight="1" x14ac:dyDescent="0.35">
      <c r="A297" s="42" t="str">
        <f t="array" ref="A297">IFERROR(INDEX('Agenda 2026'!A$2:A$376,MATCH(ROWS($A$7:$A297),'Agenda 2026'!$N$2:$N$376,0)),"")</f>
        <v/>
      </c>
      <c r="B297" s="43" t="str">
        <f t="array" ref="B297">IFERROR(INDEX('Agenda 2026'!P$2:P$376,MATCH(ROWS($A$7:$A297),'Agenda 2026'!$N$2:$N$376,0)),"")</f>
        <v/>
      </c>
      <c r="C297" s="44" t="str">
        <f t="array" ref="C297">IFERROR(INDEX('Agenda 2026'!B$2:B$376,MATCH(ROWS($A$7:$A297),'Agenda 2026'!$N$2:$N$376,0)),"")</f>
        <v/>
      </c>
      <c r="D297" s="44" t="str">
        <f t="array" ref="D297">IFERROR(INDEX('Agenda 2026'!C$2:C$376,MATCH(ROWS($A$7:$A297),'Agenda 2026'!$N$2:$N$376,0)),"")</f>
        <v/>
      </c>
      <c r="E297" s="44" t="str">
        <f t="array" ref="E297">IFERROR(INDEX('Agenda 2026'!D$2:D$376,MATCH(ROWS($A$7:$A297),'Agenda 2026'!$N$2:$N$376,0)),"")</f>
        <v/>
      </c>
      <c r="F297" s="45" t="str">
        <f t="array" ref="F297">IFERROR(INDEX('Agenda 2026'!E$2:E$376,MATCH(ROWS($A$7:$A297),'Agenda 2026'!$N$2:$N$376,0)),"")</f>
        <v/>
      </c>
      <c r="G297" s="44" t="str">
        <f t="array" ref="G297">IFERROR(INDEX('Agenda 2026'!F$2:F$376,MATCH(ROWS($A$7:$A297),'Agenda 2026'!$N$2:$N$376,0)),"")</f>
        <v/>
      </c>
      <c r="H297" s="44" t="str">
        <f t="array" ref="H297">IFERROR(INDEX('Agenda 2026'!G$2:G$376,MATCH(ROWS($A$7:$A297),'Agenda 2026'!$N$2:$N$376,0)),"")</f>
        <v/>
      </c>
      <c r="I297" s="46" t="str">
        <f t="array" ref="I297">IFERROR(INDEX('Agenda 2026'!H$2:H$376,MATCH(ROWS($A$7:$A297),'Agenda 2026'!$N$2:$N$376,0)),"")</f>
        <v/>
      </c>
      <c r="J297" s="47"/>
      <c r="K297" s="48" t="str">
        <f t="array" ref="K297">IFERROR(HYPERLINK(INDEX('Agenda 2026'!J$2:J$376,MATCH(ROWS($A$7:$A297),'Agenda 2026'!$N$2:$N$376,0)),"Ver fuente ↗"),"")</f>
        <v/>
      </c>
      <c r="L297" s="49" t="str">
        <f t="array" ref="L297">IFERROR(INDEX('Agenda 2026'!K$2:K$376,MATCH(ROWS($A$7:$A297),'Agenda 2026'!$N$2:$N$376,0)),"")</f>
        <v/>
      </c>
      <c r="M297" s="50" t="str">
        <f t="array" ref="M297">IFERROR(INDEX('Agenda 2026'!O$2:O$376,MATCH(ROWS($A$7:$A297),'Agenda 2026'!$N$2:$N$376,0)),"")</f>
        <v/>
      </c>
    </row>
    <row r="298" spans="1:13" ht="42" customHeight="1" x14ac:dyDescent="0.35">
      <c r="A298" s="42" t="str">
        <f t="array" ref="A298">IFERROR(INDEX('Agenda 2026'!A$2:A$376,MATCH(ROWS($A$7:$A298),'Agenda 2026'!$N$2:$N$376,0)),"")</f>
        <v/>
      </c>
      <c r="B298" s="43" t="str">
        <f t="array" ref="B298">IFERROR(INDEX('Agenda 2026'!P$2:P$376,MATCH(ROWS($A$7:$A298),'Agenda 2026'!$N$2:$N$376,0)),"")</f>
        <v/>
      </c>
      <c r="C298" s="44" t="str">
        <f t="array" ref="C298">IFERROR(INDEX('Agenda 2026'!B$2:B$376,MATCH(ROWS($A$7:$A298),'Agenda 2026'!$N$2:$N$376,0)),"")</f>
        <v/>
      </c>
      <c r="D298" s="44" t="str">
        <f t="array" ref="D298">IFERROR(INDEX('Agenda 2026'!C$2:C$376,MATCH(ROWS($A$7:$A298),'Agenda 2026'!$N$2:$N$376,0)),"")</f>
        <v/>
      </c>
      <c r="E298" s="44" t="str">
        <f t="array" ref="E298">IFERROR(INDEX('Agenda 2026'!D$2:D$376,MATCH(ROWS($A$7:$A298),'Agenda 2026'!$N$2:$N$376,0)),"")</f>
        <v/>
      </c>
      <c r="F298" s="45" t="str">
        <f t="array" ref="F298">IFERROR(INDEX('Agenda 2026'!E$2:E$376,MATCH(ROWS($A$7:$A298),'Agenda 2026'!$N$2:$N$376,0)),"")</f>
        <v/>
      </c>
      <c r="G298" s="44" t="str">
        <f t="array" ref="G298">IFERROR(INDEX('Agenda 2026'!F$2:F$376,MATCH(ROWS($A$7:$A298),'Agenda 2026'!$N$2:$N$376,0)),"")</f>
        <v/>
      </c>
      <c r="H298" s="44" t="str">
        <f t="array" ref="H298">IFERROR(INDEX('Agenda 2026'!G$2:G$376,MATCH(ROWS($A$7:$A298),'Agenda 2026'!$N$2:$N$376,0)),"")</f>
        <v/>
      </c>
      <c r="I298" s="46" t="str">
        <f t="array" ref="I298">IFERROR(INDEX('Agenda 2026'!H$2:H$376,MATCH(ROWS($A$7:$A298),'Agenda 2026'!$N$2:$N$376,0)),"")</f>
        <v/>
      </c>
      <c r="J298" s="47"/>
      <c r="K298" s="48" t="str">
        <f t="array" ref="K298">IFERROR(HYPERLINK(INDEX('Agenda 2026'!J$2:J$376,MATCH(ROWS($A$7:$A298),'Agenda 2026'!$N$2:$N$376,0)),"Ver fuente ↗"),"")</f>
        <v/>
      </c>
      <c r="L298" s="49" t="str">
        <f t="array" ref="L298">IFERROR(INDEX('Agenda 2026'!K$2:K$376,MATCH(ROWS($A$7:$A298),'Agenda 2026'!$N$2:$N$376,0)),"")</f>
        <v/>
      </c>
      <c r="M298" s="50" t="str">
        <f t="array" ref="M298">IFERROR(INDEX('Agenda 2026'!O$2:O$376,MATCH(ROWS($A$7:$A298),'Agenda 2026'!$N$2:$N$376,0)),"")</f>
        <v/>
      </c>
    </row>
    <row r="299" spans="1:13" ht="42" customHeight="1" x14ac:dyDescent="0.35">
      <c r="A299" s="42" t="str">
        <f t="array" ref="A299">IFERROR(INDEX('Agenda 2026'!A$2:A$376,MATCH(ROWS($A$7:$A299),'Agenda 2026'!$N$2:$N$376,0)),"")</f>
        <v/>
      </c>
      <c r="B299" s="43" t="str">
        <f t="array" ref="B299">IFERROR(INDEX('Agenda 2026'!P$2:P$376,MATCH(ROWS($A$7:$A299),'Agenda 2026'!$N$2:$N$376,0)),"")</f>
        <v/>
      </c>
      <c r="C299" s="44" t="str">
        <f t="array" ref="C299">IFERROR(INDEX('Agenda 2026'!B$2:B$376,MATCH(ROWS($A$7:$A299),'Agenda 2026'!$N$2:$N$376,0)),"")</f>
        <v/>
      </c>
      <c r="D299" s="44" t="str">
        <f t="array" ref="D299">IFERROR(INDEX('Agenda 2026'!C$2:C$376,MATCH(ROWS($A$7:$A299),'Agenda 2026'!$N$2:$N$376,0)),"")</f>
        <v/>
      </c>
      <c r="E299" s="44" t="str">
        <f t="array" ref="E299">IFERROR(INDEX('Agenda 2026'!D$2:D$376,MATCH(ROWS($A$7:$A299),'Agenda 2026'!$N$2:$N$376,0)),"")</f>
        <v/>
      </c>
      <c r="F299" s="45" t="str">
        <f t="array" ref="F299">IFERROR(INDEX('Agenda 2026'!E$2:E$376,MATCH(ROWS($A$7:$A299),'Agenda 2026'!$N$2:$N$376,0)),"")</f>
        <v/>
      </c>
      <c r="G299" s="44" t="str">
        <f t="array" ref="G299">IFERROR(INDEX('Agenda 2026'!F$2:F$376,MATCH(ROWS($A$7:$A299),'Agenda 2026'!$N$2:$N$376,0)),"")</f>
        <v/>
      </c>
      <c r="H299" s="44" t="str">
        <f t="array" ref="H299">IFERROR(INDEX('Agenda 2026'!G$2:G$376,MATCH(ROWS($A$7:$A299),'Agenda 2026'!$N$2:$N$376,0)),"")</f>
        <v/>
      </c>
      <c r="I299" s="46" t="str">
        <f t="array" ref="I299">IFERROR(INDEX('Agenda 2026'!H$2:H$376,MATCH(ROWS($A$7:$A299),'Agenda 2026'!$N$2:$N$376,0)),"")</f>
        <v/>
      </c>
      <c r="J299" s="47"/>
      <c r="K299" s="48" t="str">
        <f t="array" ref="K299">IFERROR(HYPERLINK(INDEX('Agenda 2026'!J$2:J$376,MATCH(ROWS($A$7:$A299),'Agenda 2026'!$N$2:$N$376,0)),"Ver fuente ↗"),"")</f>
        <v/>
      </c>
      <c r="L299" s="49" t="str">
        <f t="array" ref="L299">IFERROR(INDEX('Agenda 2026'!K$2:K$376,MATCH(ROWS($A$7:$A299),'Agenda 2026'!$N$2:$N$376,0)),"")</f>
        <v/>
      </c>
      <c r="M299" s="50" t="str">
        <f t="array" ref="M299">IFERROR(INDEX('Agenda 2026'!O$2:O$376,MATCH(ROWS($A$7:$A299),'Agenda 2026'!$N$2:$N$376,0)),"")</f>
        <v/>
      </c>
    </row>
    <row r="300" spans="1:13" ht="42" customHeight="1" x14ac:dyDescent="0.35">
      <c r="A300" s="42" t="str">
        <f t="array" ref="A300">IFERROR(INDEX('Agenda 2026'!A$2:A$376,MATCH(ROWS($A$7:$A300),'Agenda 2026'!$N$2:$N$376,0)),"")</f>
        <v/>
      </c>
      <c r="B300" s="43" t="str">
        <f t="array" ref="B300">IFERROR(INDEX('Agenda 2026'!P$2:P$376,MATCH(ROWS($A$7:$A300),'Agenda 2026'!$N$2:$N$376,0)),"")</f>
        <v/>
      </c>
      <c r="C300" s="44" t="str">
        <f t="array" ref="C300">IFERROR(INDEX('Agenda 2026'!B$2:B$376,MATCH(ROWS($A$7:$A300),'Agenda 2026'!$N$2:$N$376,0)),"")</f>
        <v/>
      </c>
      <c r="D300" s="44" t="str">
        <f t="array" ref="D300">IFERROR(INDEX('Agenda 2026'!C$2:C$376,MATCH(ROWS($A$7:$A300),'Agenda 2026'!$N$2:$N$376,0)),"")</f>
        <v/>
      </c>
      <c r="E300" s="44" t="str">
        <f t="array" ref="E300">IFERROR(INDEX('Agenda 2026'!D$2:D$376,MATCH(ROWS($A$7:$A300),'Agenda 2026'!$N$2:$N$376,0)),"")</f>
        <v/>
      </c>
      <c r="F300" s="45" t="str">
        <f t="array" ref="F300">IFERROR(INDEX('Agenda 2026'!E$2:E$376,MATCH(ROWS($A$7:$A300),'Agenda 2026'!$N$2:$N$376,0)),"")</f>
        <v/>
      </c>
      <c r="G300" s="44" t="str">
        <f t="array" ref="G300">IFERROR(INDEX('Agenda 2026'!F$2:F$376,MATCH(ROWS($A$7:$A300),'Agenda 2026'!$N$2:$N$376,0)),"")</f>
        <v/>
      </c>
      <c r="H300" s="44" t="str">
        <f t="array" ref="H300">IFERROR(INDEX('Agenda 2026'!G$2:G$376,MATCH(ROWS($A$7:$A300),'Agenda 2026'!$N$2:$N$376,0)),"")</f>
        <v/>
      </c>
      <c r="I300" s="46" t="str">
        <f t="array" ref="I300">IFERROR(INDEX('Agenda 2026'!H$2:H$376,MATCH(ROWS($A$7:$A300),'Agenda 2026'!$N$2:$N$376,0)),"")</f>
        <v/>
      </c>
      <c r="J300" s="47"/>
      <c r="K300" s="48" t="str">
        <f t="array" ref="K300">IFERROR(HYPERLINK(INDEX('Agenda 2026'!J$2:J$376,MATCH(ROWS($A$7:$A300),'Agenda 2026'!$N$2:$N$376,0)),"Ver fuente ↗"),"")</f>
        <v/>
      </c>
      <c r="L300" s="49" t="str">
        <f t="array" ref="L300">IFERROR(INDEX('Agenda 2026'!K$2:K$376,MATCH(ROWS($A$7:$A300),'Agenda 2026'!$N$2:$N$376,0)),"")</f>
        <v/>
      </c>
      <c r="M300" s="50" t="str">
        <f t="array" ref="M300">IFERROR(INDEX('Agenda 2026'!O$2:O$376,MATCH(ROWS($A$7:$A300),'Agenda 2026'!$N$2:$N$376,0)),"")</f>
        <v/>
      </c>
    </row>
    <row r="301" spans="1:13" ht="42" customHeight="1" x14ac:dyDescent="0.35">
      <c r="A301" s="42" t="str">
        <f t="array" ref="A301">IFERROR(INDEX('Agenda 2026'!A$2:A$376,MATCH(ROWS($A$7:$A301),'Agenda 2026'!$N$2:$N$376,0)),"")</f>
        <v/>
      </c>
      <c r="B301" s="43" t="str">
        <f t="array" ref="B301">IFERROR(INDEX('Agenda 2026'!P$2:P$376,MATCH(ROWS($A$7:$A301),'Agenda 2026'!$N$2:$N$376,0)),"")</f>
        <v/>
      </c>
      <c r="C301" s="44" t="str">
        <f t="array" ref="C301">IFERROR(INDEX('Agenda 2026'!B$2:B$376,MATCH(ROWS($A$7:$A301),'Agenda 2026'!$N$2:$N$376,0)),"")</f>
        <v/>
      </c>
      <c r="D301" s="44" t="str">
        <f t="array" ref="D301">IFERROR(INDEX('Agenda 2026'!C$2:C$376,MATCH(ROWS($A$7:$A301),'Agenda 2026'!$N$2:$N$376,0)),"")</f>
        <v/>
      </c>
      <c r="E301" s="44" t="str">
        <f t="array" ref="E301">IFERROR(INDEX('Agenda 2026'!D$2:D$376,MATCH(ROWS($A$7:$A301),'Agenda 2026'!$N$2:$N$376,0)),"")</f>
        <v/>
      </c>
      <c r="F301" s="45" t="str">
        <f t="array" ref="F301">IFERROR(INDEX('Agenda 2026'!E$2:E$376,MATCH(ROWS($A$7:$A301),'Agenda 2026'!$N$2:$N$376,0)),"")</f>
        <v/>
      </c>
      <c r="G301" s="44" t="str">
        <f t="array" ref="G301">IFERROR(INDEX('Agenda 2026'!F$2:F$376,MATCH(ROWS($A$7:$A301),'Agenda 2026'!$N$2:$N$376,0)),"")</f>
        <v/>
      </c>
      <c r="H301" s="44" t="str">
        <f t="array" ref="H301">IFERROR(INDEX('Agenda 2026'!G$2:G$376,MATCH(ROWS($A$7:$A301),'Agenda 2026'!$N$2:$N$376,0)),"")</f>
        <v/>
      </c>
      <c r="I301" s="46" t="str">
        <f t="array" ref="I301">IFERROR(INDEX('Agenda 2026'!H$2:H$376,MATCH(ROWS($A$7:$A301),'Agenda 2026'!$N$2:$N$376,0)),"")</f>
        <v/>
      </c>
      <c r="J301" s="47"/>
      <c r="K301" s="48" t="str">
        <f t="array" ref="K301">IFERROR(HYPERLINK(INDEX('Agenda 2026'!J$2:J$376,MATCH(ROWS($A$7:$A301),'Agenda 2026'!$N$2:$N$376,0)),"Ver fuente ↗"),"")</f>
        <v/>
      </c>
      <c r="L301" s="49" t="str">
        <f t="array" ref="L301">IFERROR(INDEX('Agenda 2026'!K$2:K$376,MATCH(ROWS($A$7:$A301),'Agenda 2026'!$N$2:$N$376,0)),"")</f>
        <v/>
      </c>
      <c r="M301" s="50" t="str">
        <f t="array" ref="M301">IFERROR(INDEX('Agenda 2026'!O$2:O$376,MATCH(ROWS($A$7:$A301),'Agenda 2026'!$N$2:$N$376,0)),"")</f>
        <v/>
      </c>
    </row>
    <row r="302" spans="1:13" ht="42" customHeight="1" x14ac:dyDescent="0.35">
      <c r="A302" s="42" t="str">
        <f t="array" ref="A302">IFERROR(INDEX('Agenda 2026'!A$2:A$376,MATCH(ROWS($A$7:$A302),'Agenda 2026'!$N$2:$N$376,0)),"")</f>
        <v/>
      </c>
      <c r="B302" s="43" t="str">
        <f t="array" ref="B302">IFERROR(INDEX('Agenda 2026'!P$2:P$376,MATCH(ROWS($A$7:$A302),'Agenda 2026'!$N$2:$N$376,0)),"")</f>
        <v/>
      </c>
      <c r="C302" s="44" t="str">
        <f t="array" ref="C302">IFERROR(INDEX('Agenda 2026'!B$2:B$376,MATCH(ROWS($A$7:$A302),'Agenda 2026'!$N$2:$N$376,0)),"")</f>
        <v/>
      </c>
      <c r="D302" s="44" t="str">
        <f t="array" ref="D302">IFERROR(INDEX('Agenda 2026'!C$2:C$376,MATCH(ROWS($A$7:$A302),'Agenda 2026'!$N$2:$N$376,0)),"")</f>
        <v/>
      </c>
      <c r="E302" s="44" t="str">
        <f t="array" ref="E302">IFERROR(INDEX('Agenda 2026'!D$2:D$376,MATCH(ROWS($A$7:$A302),'Agenda 2026'!$N$2:$N$376,0)),"")</f>
        <v/>
      </c>
      <c r="F302" s="45" t="str">
        <f t="array" ref="F302">IFERROR(INDEX('Agenda 2026'!E$2:E$376,MATCH(ROWS($A$7:$A302),'Agenda 2026'!$N$2:$N$376,0)),"")</f>
        <v/>
      </c>
      <c r="G302" s="44" t="str">
        <f t="array" ref="G302">IFERROR(INDEX('Agenda 2026'!F$2:F$376,MATCH(ROWS($A$7:$A302),'Agenda 2026'!$N$2:$N$376,0)),"")</f>
        <v/>
      </c>
      <c r="H302" s="44" t="str">
        <f t="array" ref="H302">IFERROR(INDEX('Agenda 2026'!G$2:G$376,MATCH(ROWS($A$7:$A302),'Agenda 2026'!$N$2:$N$376,0)),"")</f>
        <v/>
      </c>
      <c r="I302" s="46" t="str">
        <f t="array" ref="I302">IFERROR(INDEX('Agenda 2026'!H$2:H$376,MATCH(ROWS($A$7:$A302),'Agenda 2026'!$N$2:$N$376,0)),"")</f>
        <v/>
      </c>
      <c r="J302" s="47"/>
      <c r="K302" s="48" t="str">
        <f t="array" ref="K302">IFERROR(HYPERLINK(INDEX('Agenda 2026'!J$2:J$376,MATCH(ROWS($A$7:$A302),'Agenda 2026'!$N$2:$N$376,0)),"Ver fuente ↗"),"")</f>
        <v/>
      </c>
      <c r="L302" s="49" t="str">
        <f t="array" ref="L302">IFERROR(INDEX('Agenda 2026'!K$2:K$376,MATCH(ROWS($A$7:$A302),'Agenda 2026'!$N$2:$N$376,0)),"")</f>
        <v/>
      </c>
      <c r="M302" s="50" t="str">
        <f t="array" ref="M302">IFERROR(INDEX('Agenda 2026'!O$2:O$376,MATCH(ROWS($A$7:$A302),'Agenda 2026'!$N$2:$N$376,0)),"")</f>
        <v/>
      </c>
    </row>
    <row r="303" spans="1:13" ht="42" customHeight="1" x14ac:dyDescent="0.35">
      <c r="A303" s="42" t="str">
        <f t="array" ref="A303">IFERROR(INDEX('Agenda 2026'!A$2:A$376,MATCH(ROWS($A$7:$A303),'Agenda 2026'!$N$2:$N$376,0)),"")</f>
        <v/>
      </c>
      <c r="B303" s="43" t="str">
        <f t="array" ref="B303">IFERROR(INDEX('Agenda 2026'!P$2:P$376,MATCH(ROWS($A$7:$A303),'Agenda 2026'!$N$2:$N$376,0)),"")</f>
        <v/>
      </c>
      <c r="C303" s="44" t="str">
        <f t="array" ref="C303">IFERROR(INDEX('Agenda 2026'!B$2:B$376,MATCH(ROWS($A$7:$A303),'Agenda 2026'!$N$2:$N$376,0)),"")</f>
        <v/>
      </c>
      <c r="D303" s="44" t="str">
        <f t="array" ref="D303">IFERROR(INDEX('Agenda 2026'!C$2:C$376,MATCH(ROWS($A$7:$A303),'Agenda 2026'!$N$2:$N$376,0)),"")</f>
        <v/>
      </c>
      <c r="E303" s="44" t="str">
        <f t="array" ref="E303">IFERROR(INDEX('Agenda 2026'!D$2:D$376,MATCH(ROWS($A$7:$A303),'Agenda 2026'!$N$2:$N$376,0)),"")</f>
        <v/>
      </c>
      <c r="F303" s="45" t="str">
        <f t="array" ref="F303">IFERROR(INDEX('Agenda 2026'!E$2:E$376,MATCH(ROWS($A$7:$A303),'Agenda 2026'!$N$2:$N$376,0)),"")</f>
        <v/>
      </c>
      <c r="G303" s="44" t="str">
        <f t="array" ref="G303">IFERROR(INDEX('Agenda 2026'!F$2:F$376,MATCH(ROWS($A$7:$A303),'Agenda 2026'!$N$2:$N$376,0)),"")</f>
        <v/>
      </c>
      <c r="H303" s="44" t="str">
        <f t="array" ref="H303">IFERROR(INDEX('Agenda 2026'!G$2:G$376,MATCH(ROWS($A$7:$A303),'Agenda 2026'!$N$2:$N$376,0)),"")</f>
        <v/>
      </c>
      <c r="I303" s="46" t="str">
        <f t="array" ref="I303">IFERROR(INDEX('Agenda 2026'!H$2:H$376,MATCH(ROWS($A$7:$A303),'Agenda 2026'!$N$2:$N$376,0)),"")</f>
        <v/>
      </c>
      <c r="J303" s="47"/>
      <c r="K303" s="48" t="str">
        <f t="array" ref="K303">IFERROR(HYPERLINK(INDEX('Agenda 2026'!J$2:J$376,MATCH(ROWS($A$7:$A303),'Agenda 2026'!$N$2:$N$376,0)),"Ver fuente ↗"),"")</f>
        <v/>
      </c>
      <c r="L303" s="49" t="str">
        <f t="array" ref="L303">IFERROR(INDEX('Agenda 2026'!K$2:K$376,MATCH(ROWS($A$7:$A303),'Agenda 2026'!$N$2:$N$376,0)),"")</f>
        <v/>
      </c>
      <c r="M303" s="50" t="str">
        <f t="array" ref="M303">IFERROR(INDEX('Agenda 2026'!O$2:O$376,MATCH(ROWS($A$7:$A303),'Agenda 2026'!$N$2:$N$376,0)),"")</f>
        <v/>
      </c>
    </row>
    <row r="304" spans="1:13" ht="42" customHeight="1" x14ac:dyDescent="0.35">
      <c r="A304" s="42" t="str">
        <f t="array" ref="A304">IFERROR(INDEX('Agenda 2026'!A$2:A$376,MATCH(ROWS($A$7:$A304),'Agenda 2026'!$N$2:$N$376,0)),"")</f>
        <v/>
      </c>
      <c r="B304" s="43" t="str">
        <f t="array" ref="B304">IFERROR(INDEX('Agenda 2026'!P$2:P$376,MATCH(ROWS($A$7:$A304),'Agenda 2026'!$N$2:$N$376,0)),"")</f>
        <v/>
      </c>
      <c r="C304" s="44" t="str">
        <f t="array" ref="C304">IFERROR(INDEX('Agenda 2026'!B$2:B$376,MATCH(ROWS($A$7:$A304),'Agenda 2026'!$N$2:$N$376,0)),"")</f>
        <v/>
      </c>
      <c r="D304" s="44" t="str">
        <f t="array" ref="D304">IFERROR(INDEX('Agenda 2026'!C$2:C$376,MATCH(ROWS($A$7:$A304),'Agenda 2026'!$N$2:$N$376,0)),"")</f>
        <v/>
      </c>
      <c r="E304" s="44" t="str">
        <f t="array" ref="E304">IFERROR(INDEX('Agenda 2026'!D$2:D$376,MATCH(ROWS($A$7:$A304),'Agenda 2026'!$N$2:$N$376,0)),"")</f>
        <v/>
      </c>
      <c r="F304" s="45" t="str">
        <f t="array" ref="F304">IFERROR(INDEX('Agenda 2026'!E$2:E$376,MATCH(ROWS($A$7:$A304),'Agenda 2026'!$N$2:$N$376,0)),"")</f>
        <v/>
      </c>
      <c r="G304" s="44" t="str">
        <f t="array" ref="G304">IFERROR(INDEX('Agenda 2026'!F$2:F$376,MATCH(ROWS($A$7:$A304),'Agenda 2026'!$N$2:$N$376,0)),"")</f>
        <v/>
      </c>
      <c r="H304" s="44" t="str">
        <f t="array" ref="H304">IFERROR(INDEX('Agenda 2026'!G$2:G$376,MATCH(ROWS($A$7:$A304),'Agenda 2026'!$N$2:$N$376,0)),"")</f>
        <v/>
      </c>
      <c r="I304" s="46" t="str">
        <f t="array" ref="I304">IFERROR(INDEX('Agenda 2026'!H$2:H$376,MATCH(ROWS($A$7:$A304),'Agenda 2026'!$N$2:$N$376,0)),"")</f>
        <v/>
      </c>
      <c r="J304" s="47"/>
      <c r="K304" s="48" t="str">
        <f t="array" ref="K304">IFERROR(HYPERLINK(INDEX('Agenda 2026'!J$2:J$376,MATCH(ROWS($A$7:$A304),'Agenda 2026'!$N$2:$N$376,0)),"Ver fuente ↗"),"")</f>
        <v/>
      </c>
      <c r="L304" s="49" t="str">
        <f t="array" ref="L304">IFERROR(INDEX('Agenda 2026'!K$2:K$376,MATCH(ROWS($A$7:$A304),'Agenda 2026'!$N$2:$N$376,0)),"")</f>
        <v/>
      </c>
      <c r="M304" s="50" t="str">
        <f t="array" ref="M304">IFERROR(INDEX('Agenda 2026'!O$2:O$376,MATCH(ROWS($A$7:$A304),'Agenda 2026'!$N$2:$N$376,0)),"")</f>
        <v/>
      </c>
    </row>
    <row r="305" spans="1:13" ht="42" customHeight="1" x14ac:dyDescent="0.35">
      <c r="A305" s="42" t="str">
        <f t="array" ref="A305">IFERROR(INDEX('Agenda 2026'!A$2:A$376,MATCH(ROWS($A$7:$A305),'Agenda 2026'!$N$2:$N$376,0)),"")</f>
        <v/>
      </c>
      <c r="B305" s="43" t="str">
        <f t="array" ref="B305">IFERROR(INDEX('Agenda 2026'!P$2:P$376,MATCH(ROWS($A$7:$A305),'Agenda 2026'!$N$2:$N$376,0)),"")</f>
        <v/>
      </c>
      <c r="C305" s="44" t="str">
        <f t="array" ref="C305">IFERROR(INDEX('Agenda 2026'!B$2:B$376,MATCH(ROWS($A$7:$A305),'Agenda 2026'!$N$2:$N$376,0)),"")</f>
        <v/>
      </c>
      <c r="D305" s="44" t="str">
        <f t="array" ref="D305">IFERROR(INDEX('Agenda 2026'!C$2:C$376,MATCH(ROWS($A$7:$A305),'Agenda 2026'!$N$2:$N$376,0)),"")</f>
        <v/>
      </c>
      <c r="E305" s="44" t="str">
        <f t="array" ref="E305">IFERROR(INDEX('Agenda 2026'!D$2:D$376,MATCH(ROWS($A$7:$A305),'Agenda 2026'!$N$2:$N$376,0)),"")</f>
        <v/>
      </c>
      <c r="F305" s="45" t="str">
        <f t="array" ref="F305">IFERROR(INDEX('Agenda 2026'!E$2:E$376,MATCH(ROWS($A$7:$A305),'Agenda 2026'!$N$2:$N$376,0)),"")</f>
        <v/>
      </c>
      <c r="G305" s="44" t="str">
        <f t="array" ref="G305">IFERROR(INDEX('Agenda 2026'!F$2:F$376,MATCH(ROWS($A$7:$A305),'Agenda 2026'!$N$2:$N$376,0)),"")</f>
        <v/>
      </c>
      <c r="H305" s="44" t="str">
        <f t="array" ref="H305">IFERROR(INDEX('Agenda 2026'!G$2:G$376,MATCH(ROWS($A$7:$A305),'Agenda 2026'!$N$2:$N$376,0)),"")</f>
        <v/>
      </c>
      <c r="I305" s="46" t="str">
        <f t="array" ref="I305">IFERROR(INDEX('Agenda 2026'!H$2:H$376,MATCH(ROWS($A$7:$A305),'Agenda 2026'!$N$2:$N$376,0)),"")</f>
        <v/>
      </c>
      <c r="J305" s="47"/>
      <c r="K305" s="48" t="str">
        <f t="array" ref="K305">IFERROR(HYPERLINK(INDEX('Agenda 2026'!J$2:J$376,MATCH(ROWS($A$7:$A305),'Agenda 2026'!$N$2:$N$376,0)),"Ver fuente ↗"),"")</f>
        <v/>
      </c>
      <c r="L305" s="49" t="str">
        <f t="array" ref="L305">IFERROR(INDEX('Agenda 2026'!K$2:K$376,MATCH(ROWS($A$7:$A305),'Agenda 2026'!$N$2:$N$376,0)),"")</f>
        <v/>
      </c>
      <c r="M305" s="50" t="str">
        <f t="array" ref="M305">IFERROR(INDEX('Agenda 2026'!O$2:O$376,MATCH(ROWS($A$7:$A305),'Agenda 2026'!$N$2:$N$376,0)),"")</f>
        <v/>
      </c>
    </row>
    <row r="306" spans="1:13" ht="42" customHeight="1" x14ac:dyDescent="0.35">
      <c r="A306" s="42" t="str">
        <f t="array" ref="A306">IFERROR(INDEX('Agenda 2026'!A$2:A$376,MATCH(ROWS($A$7:$A306),'Agenda 2026'!$N$2:$N$376,0)),"")</f>
        <v/>
      </c>
      <c r="B306" s="43" t="str">
        <f t="array" ref="B306">IFERROR(INDEX('Agenda 2026'!P$2:P$376,MATCH(ROWS($A$7:$A306),'Agenda 2026'!$N$2:$N$376,0)),"")</f>
        <v/>
      </c>
      <c r="C306" s="44" t="str">
        <f t="array" ref="C306">IFERROR(INDEX('Agenda 2026'!B$2:B$376,MATCH(ROWS($A$7:$A306),'Agenda 2026'!$N$2:$N$376,0)),"")</f>
        <v/>
      </c>
      <c r="D306" s="44" t="str">
        <f t="array" ref="D306">IFERROR(INDEX('Agenda 2026'!C$2:C$376,MATCH(ROWS($A$7:$A306),'Agenda 2026'!$N$2:$N$376,0)),"")</f>
        <v/>
      </c>
      <c r="E306" s="44" t="str">
        <f t="array" ref="E306">IFERROR(INDEX('Agenda 2026'!D$2:D$376,MATCH(ROWS($A$7:$A306),'Agenda 2026'!$N$2:$N$376,0)),"")</f>
        <v/>
      </c>
      <c r="F306" s="45" t="str">
        <f t="array" ref="F306">IFERROR(INDEX('Agenda 2026'!E$2:E$376,MATCH(ROWS($A$7:$A306),'Agenda 2026'!$N$2:$N$376,0)),"")</f>
        <v/>
      </c>
      <c r="G306" s="44" t="str">
        <f t="array" ref="G306">IFERROR(INDEX('Agenda 2026'!F$2:F$376,MATCH(ROWS($A$7:$A306),'Agenda 2026'!$N$2:$N$376,0)),"")</f>
        <v/>
      </c>
      <c r="H306" s="44" t="str">
        <f t="array" ref="H306">IFERROR(INDEX('Agenda 2026'!G$2:G$376,MATCH(ROWS($A$7:$A306),'Agenda 2026'!$N$2:$N$376,0)),"")</f>
        <v/>
      </c>
      <c r="I306" s="46" t="str">
        <f t="array" ref="I306">IFERROR(INDEX('Agenda 2026'!H$2:H$376,MATCH(ROWS($A$7:$A306),'Agenda 2026'!$N$2:$N$376,0)),"")</f>
        <v/>
      </c>
      <c r="J306" s="47"/>
      <c r="K306" s="48" t="str">
        <f t="array" ref="K306">IFERROR(HYPERLINK(INDEX('Agenda 2026'!J$2:J$376,MATCH(ROWS($A$7:$A306),'Agenda 2026'!$N$2:$N$376,0)),"Ver fuente ↗"),"")</f>
        <v/>
      </c>
      <c r="L306" s="49" t="str">
        <f t="array" ref="L306">IFERROR(INDEX('Agenda 2026'!K$2:K$376,MATCH(ROWS($A$7:$A306),'Agenda 2026'!$N$2:$N$376,0)),"")</f>
        <v/>
      </c>
      <c r="M306" s="50" t="str">
        <f t="array" ref="M306">IFERROR(INDEX('Agenda 2026'!O$2:O$376,MATCH(ROWS($A$7:$A306),'Agenda 2026'!$N$2:$N$376,0)),"")</f>
        <v/>
      </c>
    </row>
    <row r="307" spans="1:13" ht="42" customHeight="1" x14ac:dyDescent="0.35">
      <c r="A307" s="42" t="str">
        <f t="array" ref="A307">IFERROR(INDEX('Agenda 2026'!A$2:A$376,MATCH(ROWS($A$7:$A307),'Agenda 2026'!$N$2:$N$376,0)),"")</f>
        <v/>
      </c>
      <c r="B307" s="43" t="str">
        <f t="array" ref="B307">IFERROR(INDEX('Agenda 2026'!P$2:P$376,MATCH(ROWS($A$7:$A307),'Agenda 2026'!$N$2:$N$376,0)),"")</f>
        <v/>
      </c>
      <c r="C307" s="44" t="str">
        <f t="array" ref="C307">IFERROR(INDEX('Agenda 2026'!B$2:B$376,MATCH(ROWS($A$7:$A307),'Agenda 2026'!$N$2:$N$376,0)),"")</f>
        <v/>
      </c>
      <c r="D307" s="44" t="str">
        <f t="array" ref="D307">IFERROR(INDEX('Agenda 2026'!C$2:C$376,MATCH(ROWS($A$7:$A307),'Agenda 2026'!$N$2:$N$376,0)),"")</f>
        <v/>
      </c>
      <c r="E307" s="44" t="str">
        <f t="array" ref="E307">IFERROR(INDEX('Agenda 2026'!D$2:D$376,MATCH(ROWS($A$7:$A307),'Agenda 2026'!$N$2:$N$376,0)),"")</f>
        <v/>
      </c>
      <c r="F307" s="45" t="str">
        <f t="array" ref="F307">IFERROR(INDEX('Agenda 2026'!E$2:E$376,MATCH(ROWS($A$7:$A307),'Agenda 2026'!$N$2:$N$376,0)),"")</f>
        <v/>
      </c>
      <c r="G307" s="44" t="str">
        <f t="array" ref="G307">IFERROR(INDEX('Agenda 2026'!F$2:F$376,MATCH(ROWS($A$7:$A307),'Agenda 2026'!$N$2:$N$376,0)),"")</f>
        <v/>
      </c>
      <c r="H307" s="44" t="str">
        <f t="array" ref="H307">IFERROR(INDEX('Agenda 2026'!G$2:G$376,MATCH(ROWS($A$7:$A307),'Agenda 2026'!$N$2:$N$376,0)),"")</f>
        <v/>
      </c>
      <c r="I307" s="46" t="str">
        <f t="array" ref="I307">IFERROR(INDEX('Agenda 2026'!H$2:H$376,MATCH(ROWS($A$7:$A307),'Agenda 2026'!$N$2:$N$376,0)),"")</f>
        <v/>
      </c>
      <c r="J307" s="47"/>
      <c r="K307" s="48" t="str">
        <f t="array" ref="K307">IFERROR(HYPERLINK(INDEX('Agenda 2026'!J$2:J$376,MATCH(ROWS($A$7:$A307),'Agenda 2026'!$N$2:$N$376,0)),"Ver fuente ↗"),"")</f>
        <v/>
      </c>
      <c r="L307" s="49" t="str">
        <f t="array" ref="L307">IFERROR(INDEX('Agenda 2026'!K$2:K$376,MATCH(ROWS($A$7:$A307),'Agenda 2026'!$N$2:$N$376,0)),"")</f>
        <v/>
      </c>
      <c r="M307" s="50" t="str">
        <f t="array" ref="M307">IFERROR(INDEX('Agenda 2026'!O$2:O$376,MATCH(ROWS($A$7:$A307),'Agenda 2026'!$N$2:$N$376,0)),"")</f>
        <v/>
      </c>
    </row>
    <row r="308" spans="1:13" ht="42" customHeight="1" x14ac:dyDescent="0.35">
      <c r="A308" s="42" t="str">
        <f t="array" ref="A308">IFERROR(INDEX('Agenda 2026'!A$2:A$376,MATCH(ROWS($A$7:$A308),'Agenda 2026'!$N$2:$N$376,0)),"")</f>
        <v/>
      </c>
      <c r="B308" s="43" t="str">
        <f t="array" ref="B308">IFERROR(INDEX('Agenda 2026'!P$2:P$376,MATCH(ROWS($A$7:$A308),'Agenda 2026'!$N$2:$N$376,0)),"")</f>
        <v/>
      </c>
      <c r="C308" s="44" t="str">
        <f t="array" ref="C308">IFERROR(INDEX('Agenda 2026'!B$2:B$376,MATCH(ROWS($A$7:$A308),'Agenda 2026'!$N$2:$N$376,0)),"")</f>
        <v/>
      </c>
      <c r="D308" s="44" t="str">
        <f t="array" ref="D308">IFERROR(INDEX('Agenda 2026'!C$2:C$376,MATCH(ROWS($A$7:$A308),'Agenda 2026'!$N$2:$N$376,0)),"")</f>
        <v/>
      </c>
      <c r="E308" s="44" t="str">
        <f t="array" ref="E308">IFERROR(INDEX('Agenda 2026'!D$2:D$376,MATCH(ROWS($A$7:$A308),'Agenda 2026'!$N$2:$N$376,0)),"")</f>
        <v/>
      </c>
      <c r="F308" s="45" t="str">
        <f t="array" ref="F308">IFERROR(INDEX('Agenda 2026'!E$2:E$376,MATCH(ROWS($A$7:$A308),'Agenda 2026'!$N$2:$N$376,0)),"")</f>
        <v/>
      </c>
      <c r="G308" s="44" t="str">
        <f t="array" ref="G308">IFERROR(INDEX('Agenda 2026'!F$2:F$376,MATCH(ROWS($A$7:$A308),'Agenda 2026'!$N$2:$N$376,0)),"")</f>
        <v/>
      </c>
      <c r="H308" s="44" t="str">
        <f t="array" ref="H308">IFERROR(INDEX('Agenda 2026'!G$2:G$376,MATCH(ROWS($A$7:$A308),'Agenda 2026'!$N$2:$N$376,0)),"")</f>
        <v/>
      </c>
      <c r="I308" s="46" t="str">
        <f t="array" ref="I308">IFERROR(INDEX('Agenda 2026'!H$2:H$376,MATCH(ROWS($A$7:$A308),'Agenda 2026'!$N$2:$N$376,0)),"")</f>
        <v/>
      </c>
      <c r="J308" s="47"/>
      <c r="K308" s="48" t="str">
        <f t="array" ref="K308">IFERROR(HYPERLINK(INDEX('Agenda 2026'!J$2:J$376,MATCH(ROWS($A$7:$A308),'Agenda 2026'!$N$2:$N$376,0)),"Ver fuente ↗"),"")</f>
        <v/>
      </c>
      <c r="L308" s="49" t="str">
        <f t="array" ref="L308">IFERROR(INDEX('Agenda 2026'!K$2:K$376,MATCH(ROWS($A$7:$A308),'Agenda 2026'!$N$2:$N$376,0)),"")</f>
        <v/>
      </c>
      <c r="M308" s="50" t="str">
        <f t="array" ref="M308">IFERROR(INDEX('Agenda 2026'!O$2:O$376,MATCH(ROWS($A$7:$A308),'Agenda 2026'!$N$2:$N$376,0)),"")</f>
        <v/>
      </c>
    </row>
    <row r="309" spans="1:13" ht="42" customHeight="1" x14ac:dyDescent="0.35">
      <c r="A309" s="42" t="str">
        <f t="array" ref="A309">IFERROR(INDEX('Agenda 2026'!A$2:A$376,MATCH(ROWS($A$7:$A309),'Agenda 2026'!$N$2:$N$376,0)),"")</f>
        <v/>
      </c>
      <c r="B309" s="43" t="str">
        <f t="array" ref="B309">IFERROR(INDEX('Agenda 2026'!P$2:P$376,MATCH(ROWS($A$7:$A309),'Agenda 2026'!$N$2:$N$376,0)),"")</f>
        <v/>
      </c>
      <c r="C309" s="44" t="str">
        <f t="array" ref="C309">IFERROR(INDEX('Agenda 2026'!B$2:B$376,MATCH(ROWS($A$7:$A309),'Agenda 2026'!$N$2:$N$376,0)),"")</f>
        <v/>
      </c>
      <c r="D309" s="44" t="str">
        <f t="array" ref="D309">IFERROR(INDEX('Agenda 2026'!C$2:C$376,MATCH(ROWS($A$7:$A309),'Agenda 2026'!$N$2:$N$376,0)),"")</f>
        <v/>
      </c>
      <c r="E309" s="44" t="str">
        <f t="array" ref="E309">IFERROR(INDEX('Agenda 2026'!D$2:D$376,MATCH(ROWS($A$7:$A309),'Agenda 2026'!$N$2:$N$376,0)),"")</f>
        <v/>
      </c>
      <c r="F309" s="45" t="str">
        <f t="array" ref="F309">IFERROR(INDEX('Agenda 2026'!E$2:E$376,MATCH(ROWS($A$7:$A309),'Agenda 2026'!$N$2:$N$376,0)),"")</f>
        <v/>
      </c>
      <c r="G309" s="44" t="str">
        <f t="array" ref="G309">IFERROR(INDEX('Agenda 2026'!F$2:F$376,MATCH(ROWS($A$7:$A309),'Agenda 2026'!$N$2:$N$376,0)),"")</f>
        <v/>
      </c>
      <c r="H309" s="44" t="str">
        <f t="array" ref="H309">IFERROR(INDEX('Agenda 2026'!G$2:G$376,MATCH(ROWS($A$7:$A309),'Agenda 2026'!$N$2:$N$376,0)),"")</f>
        <v/>
      </c>
      <c r="I309" s="46" t="str">
        <f t="array" ref="I309">IFERROR(INDEX('Agenda 2026'!H$2:H$376,MATCH(ROWS($A$7:$A309),'Agenda 2026'!$N$2:$N$376,0)),"")</f>
        <v/>
      </c>
      <c r="J309" s="47"/>
      <c r="K309" s="48" t="str">
        <f t="array" ref="K309">IFERROR(HYPERLINK(INDEX('Agenda 2026'!J$2:J$376,MATCH(ROWS($A$7:$A309),'Agenda 2026'!$N$2:$N$376,0)),"Ver fuente ↗"),"")</f>
        <v/>
      </c>
      <c r="L309" s="49" t="str">
        <f t="array" ref="L309">IFERROR(INDEX('Agenda 2026'!K$2:K$376,MATCH(ROWS($A$7:$A309),'Agenda 2026'!$N$2:$N$376,0)),"")</f>
        <v/>
      </c>
      <c r="M309" s="50" t="str">
        <f t="array" ref="M309">IFERROR(INDEX('Agenda 2026'!O$2:O$376,MATCH(ROWS($A$7:$A309),'Agenda 2026'!$N$2:$N$376,0)),"")</f>
        <v/>
      </c>
    </row>
    <row r="310" spans="1:13" ht="42" customHeight="1" x14ac:dyDescent="0.35">
      <c r="A310" s="42" t="str">
        <f t="array" ref="A310">IFERROR(INDEX('Agenda 2026'!A$2:A$376,MATCH(ROWS($A$7:$A310),'Agenda 2026'!$N$2:$N$376,0)),"")</f>
        <v/>
      </c>
      <c r="B310" s="43" t="str">
        <f t="array" ref="B310">IFERROR(INDEX('Agenda 2026'!P$2:P$376,MATCH(ROWS($A$7:$A310),'Agenda 2026'!$N$2:$N$376,0)),"")</f>
        <v/>
      </c>
      <c r="C310" s="44" t="str">
        <f t="array" ref="C310">IFERROR(INDEX('Agenda 2026'!B$2:B$376,MATCH(ROWS($A$7:$A310),'Agenda 2026'!$N$2:$N$376,0)),"")</f>
        <v/>
      </c>
      <c r="D310" s="44" t="str">
        <f t="array" ref="D310">IFERROR(INDEX('Agenda 2026'!C$2:C$376,MATCH(ROWS($A$7:$A310),'Agenda 2026'!$N$2:$N$376,0)),"")</f>
        <v/>
      </c>
      <c r="E310" s="44" t="str">
        <f t="array" ref="E310">IFERROR(INDEX('Agenda 2026'!D$2:D$376,MATCH(ROWS($A$7:$A310),'Agenda 2026'!$N$2:$N$376,0)),"")</f>
        <v/>
      </c>
      <c r="F310" s="45" t="str">
        <f t="array" ref="F310">IFERROR(INDEX('Agenda 2026'!E$2:E$376,MATCH(ROWS($A$7:$A310),'Agenda 2026'!$N$2:$N$376,0)),"")</f>
        <v/>
      </c>
      <c r="G310" s="44" t="str">
        <f t="array" ref="G310">IFERROR(INDEX('Agenda 2026'!F$2:F$376,MATCH(ROWS($A$7:$A310),'Agenda 2026'!$N$2:$N$376,0)),"")</f>
        <v/>
      </c>
      <c r="H310" s="44" t="str">
        <f t="array" ref="H310">IFERROR(INDEX('Agenda 2026'!G$2:G$376,MATCH(ROWS($A$7:$A310),'Agenda 2026'!$N$2:$N$376,0)),"")</f>
        <v/>
      </c>
      <c r="I310" s="46" t="str">
        <f t="array" ref="I310">IFERROR(INDEX('Agenda 2026'!H$2:H$376,MATCH(ROWS($A$7:$A310),'Agenda 2026'!$N$2:$N$376,0)),"")</f>
        <v/>
      </c>
      <c r="J310" s="47"/>
      <c r="K310" s="48" t="str">
        <f t="array" ref="K310">IFERROR(HYPERLINK(INDEX('Agenda 2026'!J$2:J$376,MATCH(ROWS($A$7:$A310),'Agenda 2026'!$N$2:$N$376,0)),"Ver fuente ↗"),"")</f>
        <v/>
      </c>
      <c r="L310" s="49" t="str">
        <f t="array" ref="L310">IFERROR(INDEX('Agenda 2026'!K$2:K$376,MATCH(ROWS($A$7:$A310),'Agenda 2026'!$N$2:$N$376,0)),"")</f>
        <v/>
      </c>
      <c r="M310" s="50" t="str">
        <f t="array" ref="M310">IFERROR(INDEX('Agenda 2026'!O$2:O$376,MATCH(ROWS($A$7:$A310),'Agenda 2026'!$N$2:$N$376,0)),"")</f>
        <v/>
      </c>
    </row>
    <row r="311" spans="1:13" ht="42" customHeight="1" x14ac:dyDescent="0.35">
      <c r="A311" s="42" t="str">
        <f t="array" ref="A311">IFERROR(INDEX('Agenda 2026'!A$2:A$376,MATCH(ROWS($A$7:$A311),'Agenda 2026'!$N$2:$N$376,0)),"")</f>
        <v/>
      </c>
      <c r="B311" s="43" t="str">
        <f t="array" ref="B311">IFERROR(INDEX('Agenda 2026'!P$2:P$376,MATCH(ROWS($A$7:$A311),'Agenda 2026'!$N$2:$N$376,0)),"")</f>
        <v/>
      </c>
      <c r="C311" s="44" t="str">
        <f t="array" ref="C311">IFERROR(INDEX('Agenda 2026'!B$2:B$376,MATCH(ROWS($A$7:$A311),'Agenda 2026'!$N$2:$N$376,0)),"")</f>
        <v/>
      </c>
      <c r="D311" s="44" t="str">
        <f t="array" ref="D311">IFERROR(INDEX('Agenda 2026'!C$2:C$376,MATCH(ROWS($A$7:$A311),'Agenda 2026'!$N$2:$N$376,0)),"")</f>
        <v/>
      </c>
      <c r="E311" s="44" t="str">
        <f t="array" ref="E311">IFERROR(INDEX('Agenda 2026'!D$2:D$376,MATCH(ROWS($A$7:$A311),'Agenda 2026'!$N$2:$N$376,0)),"")</f>
        <v/>
      </c>
      <c r="F311" s="45" t="str">
        <f t="array" ref="F311">IFERROR(INDEX('Agenda 2026'!E$2:E$376,MATCH(ROWS($A$7:$A311),'Agenda 2026'!$N$2:$N$376,0)),"")</f>
        <v/>
      </c>
      <c r="G311" s="44" t="str">
        <f t="array" ref="G311">IFERROR(INDEX('Agenda 2026'!F$2:F$376,MATCH(ROWS($A$7:$A311),'Agenda 2026'!$N$2:$N$376,0)),"")</f>
        <v/>
      </c>
      <c r="H311" s="44" t="str">
        <f t="array" ref="H311">IFERROR(INDEX('Agenda 2026'!G$2:G$376,MATCH(ROWS($A$7:$A311),'Agenda 2026'!$N$2:$N$376,0)),"")</f>
        <v/>
      </c>
      <c r="I311" s="46" t="str">
        <f t="array" ref="I311">IFERROR(INDEX('Agenda 2026'!H$2:H$376,MATCH(ROWS($A$7:$A311),'Agenda 2026'!$N$2:$N$376,0)),"")</f>
        <v/>
      </c>
      <c r="J311" s="47"/>
      <c r="K311" s="48" t="str">
        <f t="array" ref="K311">IFERROR(HYPERLINK(INDEX('Agenda 2026'!J$2:J$376,MATCH(ROWS($A$7:$A311),'Agenda 2026'!$N$2:$N$376,0)),"Ver fuente ↗"),"")</f>
        <v/>
      </c>
      <c r="L311" s="49" t="str">
        <f t="array" ref="L311">IFERROR(INDEX('Agenda 2026'!K$2:K$376,MATCH(ROWS($A$7:$A311),'Agenda 2026'!$N$2:$N$376,0)),"")</f>
        <v/>
      </c>
      <c r="M311" s="50" t="str">
        <f t="array" ref="M311">IFERROR(INDEX('Agenda 2026'!O$2:O$376,MATCH(ROWS($A$7:$A311),'Agenda 2026'!$N$2:$N$376,0)),"")</f>
        <v/>
      </c>
    </row>
    <row r="312" spans="1:13" ht="42" customHeight="1" x14ac:dyDescent="0.35">
      <c r="A312" s="42" t="str">
        <f t="array" ref="A312">IFERROR(INDEX('Agenda 2026'!A$2:A$376,MATCH(ROWS($A$7:$A312),'Agenda 2026'!$N$2:$N$376,0)),"")</f>
        <v/>
      </c>
      <c r="B312" s="43" t="str">
        <f t="array" ref="B312">IFERROR(INDEX('Agenda 2026'!P$2:P$376,MATCH(ROWS($A$7:$A312),'Agenda 2026'!$N$2:$N$376,0)),"")</f>
        <v/>
      </c>
      <c r="C312" s="44" t="str">
        <f t="array" ref="C312">IFERROR(INDEX('Agenda 2026'!B$2:B$376,MATCH(ROWS($A$7:$A312),'Agenda 2026'!$N$2:$N$376,0)),"")</f>
        <v/>
      </c>
      <c r="D312" s="44" t="str">
        <f t="array" ref="D312">IFERROR(INDEX('Agenda 2026'!C$2:C$376,MATCH(ROWS($A$7:$A312),'Agenda 2026'!$N$2:$N$376,0)),"")</f>
        <v/>
      </c>
      <c r="E312" s="44" t="str">
        <f t="array" ref="E312">IFERROR(INDEX('Agenda 2026'!D$2:D$376,MATCH(ROWS($A$7:$A312),'Agenda 2026'!$N$2:$N$376,0)),"")</f>
        <v/>
      </c>
      <c r="F312" s="45" t="str">
        <f t="array" ref="F312">IFERROR(INDEX('Agenda 2026'!E$2:E$376,MATCH(ROWS($A$7:$A312),'Agenda 2026'!$N$2:$N$376,0)),"")</f>
        <v/>
      </c>
      <c r="G312" s="44" t="str">
        <f t="array" ref="G312">IFERROR(INDEX('Agenda 2026'!F$2:F$376,MATCH(ROWS($A$7:$A312),'Agenda 2026'!$N$2:$N$376,0)),"")</f>
        <v/>
      </c>
      <c r="H312" s="44" t="str">
        <f t="array" ref="H312">IFERROR(INDEX('Agenda 2026'!G$2:G$376,MATCH(ROWS($A$7:$A312),'Agenda 2026'!$N$2:$N$376,0)),"")</f>
        <v/>
      </c>
      <c r="I312" s="46" t="str">
        <f t="array" ref="I312">IFERROR(INDEX('Agenda 2026'!H$2:H$376,MATCH(ROWS($A$7:$A312),'Agenda 2026'!$N$2:$N$376,0)),"")</f>
        <v/>
      </c>
      <c r="J312" s="47"/>
      <c r="K312" s="48" t="str">
        <f t="array" ref="K312">IFERROR(HYPERLINK(INDEX('Agenda 2026'!J$2:J$376,MATCH(ROWS($A$7:$A312),'Agenda 2026'!$N$2:$N$376,0)),"Ver fuente ↗"),"")</f>
        <v/>
      </c>
      <c r="L312" s="49" t="str">
        <f t="array" ref="L312">IFERROR(INDEX('Agenda 2026'!K$2:K$376,MATCH(ROWS($A$7:$A312),'Agenda 2026'!$N$2:$N$376,0)),"")</f>
        <v/>
      </c>
      <c r="M312" s="50" t="str">
        <f t="array" ref="M312">IFERROR(INDEX('Agenda 2026'!O$2:O$376,MATCH(ROWS($A$7:$A312),'Agenda 2026'!$N$2:$N$376,0)),"")</f>
        <v/>
      </c>
    </row>
    <row r="313" spans="1:13" ht="42" customHeight="1" x14ac:dyDescent="0.35">
      <c r="A313" s="42" t="str">
        <f t="array" ref="A313">IFERROR(INDEX('Agenda 2026'!A$2:A$376,MATCH(ROWS($A$7:$A313),'Agenda 2026'!$N$2:$N$376,0)),"")</f>
        <v/>
      </c>
      <c r="B313" s="43" t="str">
        <f t="array" ref="B313">IFERROR(INDEX('Agenda 2026'!P$2:P$376,MATCH(ROWS($A$7:$A313),'Agenda 2026'!$N$2:$N$376,0)),"")</f>
        <v/>
      </c>
      <c r="C313" s="44" t="str">
        <f t="array" ref="C313">IFERROR(INDEX('Agenda 2026'!B$2:B$376,MATCH(ROWS($A$7:$A313),'Agenda 2026'!$N$2:$N$376,0)),"")</f>
        <v/>
      </c>
      <c r="D313" s="44" t="str">
        <f t="array" ref="D313">IFERROR(INDEX('Agenda 2026'!C$2:C$376,MATCH(ROWS($A$7:$A313),'Agenda 2026'!$N$2:$N$376,0)),"")</f>
        <v/>
      </c>
      <c r="E313" s="44" t="str">
        <f t="array" ref="E313">IFERROR(INDEX('Agenda 2026'!D$2:D$376,MATCH(ROWS($A$7:$A313),'Agenda 2026'!$N$2:$N$376,0)),"")</f>
        <v/>
      </c>
      <c r="F313" s="45" t="str">
        <f t="array" ref="F313">IFERROR(INDEX('Agenda 2026'!E$2:E$376,MATCH(ROWS($A$7:$A313),'Agenda 2026'!$N$2:$N$376,0)),"")</f>
        <v/>
      </c>
      <c r="G313" s="44" t="str">
        <f t="array" ref="G313">IFERROR(INDEX('Agenda 2026'!F$2:F$376,MATCH(ROWS($A$7:$A313),'Agenda 2026'!$N$2:$N$376,0)),"")</f>
        <v/>
      </c>
      <c r="H313" s="44" t="str">
        <f t="array" ref="H313">IFERROR(INDEX('Agenda 2026'!G$2:G$376,MATCH(ROWS($A$7:$A313),'Agenda 2026'!$N$2:$N$376,0)),"")</f>
        <v/>
      </c>
      <c r="I313" s="46" t="str">
        <f t="array" ref="I313">IFERROR(INDEX('Agenda 2026'!H$2:H$376,MATCH(ROWS($A$7:$A313),'Agenda 2026'!$N$2:$N$376,0)),"")</f>
        <v/>
      </c>
      <c r="J313" s="47"/>
      <c r="K313" s="48" t="str">
        <f t="array" ref="K313">IFERROR(HYPERLINK(INDEX('Agenda 2026'!J$2:J$376,MATCH(ROWS($A$7:$A313),'Agenda 2026'!$N$2:$N$376,0)),"Ver fuente ↗"),"")</f>
        <v/>
      </c>
      <c r="L313" s="49" t="str">
        <f t="array" ref="L313">IFERROR(INDEX('Agenda 2026'!K$2:K$376,MATCH(ROWS($A$7:$A313),'Agenda 2026'!$N$2:$N$376,0)),"")</f>
        <v/>
      </c>
      <c r="M313" s="50" t="str">
        <f t="array" ref="M313">IFERROR(INDEX('Agenda 2026'!O$2:O$376,MATCH(ROWS($A$7:$A313),'Agenda 2026'!$N$2:$N$376,0)),"")</f>
        <v/>
      </c>
    </row>
    <row r="314" spans="1:13" ht="42" customHeight="1" x14ac:dyDescent="0.35">
      <c r="A314" s="42" t="str">
        <f t="array" ref="A314">IFERROR(INDEX('Agenda 2026'!A$2:A$376,MATCH(ROWS($A$7:$A314),'Agenda 2026'!$N$2:$N$376,0)),"")</f>
        <v/>
      </c>
      <c r="B314" s="43" t="str">
        <f t="array" ref="B314">IFERROR(INDEX('Agenda 2026'!P$2:P$376,MATCH(ROWS($A$7:$A314),'Agenda 2026'!$N$2:$N$376,0)),"")</f>
        <v/>
      </c>
      <c r="C314" s="44" t="str">
        <f t="array" ref="C314">IFERROR(INDEX('Agenda 2026'!B$2:B$376,MATCH(ROWS($A$7:$A314),'Agenda 2026'!$N$2:$N$376,0)),"")</f>
        <v/>
      </c>
      <c r="D314" s="44" t="str">
        <f t="array" ref="D314">IFERROR(INDEX('Agenda 2026'!C$2:C$376,MATCH(ROWS($A$7:$A314),'Agenda 2026'!$N$2:$N$376,0)),"")</f>
        <v/>
      </c>
      <c r="E314" s="44" t="str">
        <f t="array" ref="E314">IFERROR(INDEX('Agenda 2026'!D$2:D$376,MATCH(ROWS($A$7:$A314),'Agenda 2026'!$N$2:$N$376,0)),"")</f>
        <v/>
      </c>
      <c r="F314" s="45" t="str">
        <f t="array" ref="F314">IFERROR(INDEX('Agenda 2026'!E$2:E$376,MATCH(ROWS($A$7:$A314),'Agenda 2026'!$N$2:$N$376,0)),"")</f>
        <v/>
      </c>
      <c r="G314" s="44" t="str">
        <f t="array" ref="G314">IFERROR(INDEX('Agenda 2026'!F$2:F$376,MATCH(ROWS($A$7:$A314),'Agenda 2026'!$N$2:$N$376,0)),"")</f>
        <v/>
      </c>
      <c r="H314" s="44" t="str">
        <f t="array" ref="H314">IFERROR(INDEX('Agenda 2026'!G$2:G$376,MATCH(ROWS($A$7:$A314),'Agenda 2026'!$N$2:$N$376,0)),"")</f>
        <v/>
      </c>
      <c r="I314" s="46" t="str">
        <f t="array" ref="I314">IFERROR(INDEX('Agenda 2026'!H$2:H$376,MATCH(ROWS($A$7:$A314),'Agenda 2026'!$N$2:$N$376,0)),"")</f>
        <v/>
      </c>
      <c r="J314" s="47"/>
      <c r="K314" s="48" t="str">
        <f t="array" ref="K314">IFERROR(HYPERLINK(INDEX('Agenda 2026'!J$2:J$376,MATCH(ROWS($A$7:$A314),'Agenda 2026'!$N$2:$N$376,0)),"Ver fuente ↗"),"")</f>
        <v/>
      </c>
      <c r="L314" s="49" t="str">
        <f t="array" ref="L314">IFERROR(INDEX('Agenda 2026'!K$2:K$376,MATCH(ROWS($A$7:$A314),'Agenda 2026'!$N$2:$N$376,0)),"")</f>
        <v/>
      </c>
      <c r="M314" s="50" t="str">
        <f t="array" ref="M314">IFERROR(INDEX('Agenda 2026'!O$2:O$376,MATCH(ROWS($A$7:$A314),'Agenda 2026'!$N$2:$N$376,0)),"")</f>
        <v/>
      </c>
    </row>
    <row r="315" spans="1:13" ht="42" customHeight="1" x14ac:dyDescent="0.35">
      <c r="A315" s="42" t="str">
        <f t="array" ref="A315">IFERROR(INDEX('Agenda 2026'!A$2:A$376,MATCH(ROWS($A$7:$A315),'Agenda 2026'!$N$2:$N$376,0)),"")</f>
        <v/>
      </c>
      <c r="B315" s="43" t="str">
        <f t="array" ref="B315">IFERROR(INDEX('Agenda 2026'!P$2:P$376,MATCH(ROWS($A$7:$A315),'Agenda 2026'!$N$2:$N$376,0)),"")</f>
        <v/>
      </c>
      <c r="C315" s="44" t="str">
        <f t="array" ref="C315">IFERROR(INDEX('Agenda 2026'!B$2:B$376,MATCH(ROWS($A$7:$A315),'Agenda 2026'!$N$2:$N$376,0)),"")</f>
        <v/>
      </c>
      <c r="D315" s="44" t="str">
        <f t="array" ref="D315">IFERROR(INDEX('Agenda 2026'!C$2:C$376,MATCH(ROWS($A$7:$A315),'Agenda 2026'!$N$2:$N$376,0)),"")</f>
        <v/>
      </c>
      <c r="E315" s="44" t="str">
        <f t="array" ref="E315">IFERROR(INDEX('Agenda 2026'!D$2:D$376,MATCH(ROWS($A$7:$A315),'Agenda 2026'!$N$2:$N$376,0)),"")</f>
        <v/>
      </c>
      <c r="F315" s="45" t="str">
        <f t="array" ref="F315">IFERROR(INDEX('Agenda 2026'!E$2:E$376,MATCH(ROWS($A$7:$A315),'Agenda 2026'!$N$2:$N$376,0)),"")</f>
        <v/>
      </c>
      <c r="G315" s="44" t="str">
        <f t="array" ref="G315">IFERROR(INDEX('Agenda 2026'!F$2:F$376,MATCH(ROWS($A$7:$A315),'Agenda 2026'!$N$2:$N$376,0)),"")</f>
        <v/>
      </c>
      <c r="H315" s="44" t="str">
        <f t="array" ref="H315">IFERROR(INDEX('Agenda 2026'!G$2:G$376,MATCH(ROWS($A$7:$A315),'Agenda 2026'!$N$2:$N$376,0)),"")</f>
        <v/>
      </c>
      <c r="I315" s="46" t="str">
        <f t="array" ref="I315">IFERROR(INDEX('Agenda 2026'!H$2:H$376,MATCH(ROWS($A$7:$A315),'Agenda 2026'!$N$2:$N$376,0)),"")</f>
        <v/>
      </c>
      <c r="J315" s="47"/>
      <c r="K315" s="48" t="str">
        <f t="array" ref="K315">IFERROR(HYPERLINK(INDEX('Agenda 2026'!J$2:J$376,MATCH(ROWS($A$7:$A315),'Agenda 2026'!$N$2:$N$376,0)),"Ver fuente ↗"),"")</f>
        <v/>
      </c>
      <c r="L315" s="49" t="str">
        <f t="array" ref="L315">IFERROR(INDEX('Agenda 2026'!K$2:K$376,MATCH(ROWS($A$7:$A315),'Agenda 2026'!$N$2:$N$376,0)),"")</f>
        <v/>
      </c>
      <c r="M315" s="50" t="str">
        <f t="array" ref="M315">IFERROR(INDEX('Agenda 2026'!O$2:O$376,MATCH(ROWS($A$7:$A315),'Agenda 2026'!$N$2:$N$376,0)),"")</f>
        <v/>
      </c>
    </row>
    <row r="316" spans="1:13" ht="42" customHeight="1" x14ac:dyDescent="0.35">
      <c r="A316" s="42" t="str">
        <f t="array" ref="A316">IFERROR(INDEX('Agenda 2026'!A$2:A$376,MATCH(ROWS($A$7:$A316),'Agenda 2026'!$N$2:$N$376,0)),"")</f>
        <v/>
      </c>
      <c r="B316" s="43" t="str">
        <f t="array" ref="B316">IFERROR(INDEX('Agenda 2026'!P$2:P$376,MATCH(ROWS($A$7:$A316),'Agenda 2026'!$N$2:$N$376,0)),"")</f>
        <v/>
      </c>
      <c r="C316" s="44" t="str">
        <f t="array" ref="C316">IFERROR(INDEX('Agenda 2026'!B$2:B$376,MATCH(ROWS($A$7:$A316),'Agenda 2026'!$N$2:$N$376,0)),"")</f>
        <v/>
      </c>
      <c r="D316" s="44" t="str">
        <f t="array" ref="D316">IFERROR(INDEX('Agenda 2026'!C$2:C$376,MATCH(ROWS($A$7:$A316),'Agenda 2026'!$N$2:$N$376,0)),"")</f>
        <v/>
      </c>
      <c r="E316" s="44" t="str">
        <f t="array" ref="E316">IFERROR(INDEX('Agenda 2026'!D$2:D$376,MATCH(ROWS($A$7:$A316),'Agenda 2026'!$N$2:$N$376,0)),"")</f>
        <v/>
      </c>
      <c r="F316" s="45" t="str">
        <f t="array" ref="F316">IFERROR(INDEX('Agenda 2026'!E$2:E$376,MATCH(ROWS($A$7:$A316),'Agenda 2026'!$N$2:$N$376,0)),"")</f>
        <v/>
      </c>
      <c r="G316" s="44" t="str">
        <f t="array" ref="G316">IFERROR(INDEX('Agenda 2026'!F$2:F$376,MATCH(ROWS($A$7:$A316),'Agenda 2026'!$N$2:$N$376,0)),"")</f>
        <v/>
      </c>
      <c r="H316" s="44" t="str">
        <f t="array" ref="H316">IFERROR(INDEX('Agenda 2026'!G$2:G$376,MATCH(ROWS($A$7:$A316),'Agenda 2026'!$N$2:$N$376,0)),"")</f>
        <v/>
      </c>
      <c r="I316" s="46" t="str">
        <f t="array" ref="I316">IFERROR(INDEX('Agenda 2026'!H$2:H$376,MATCH(ROWS($A$7:$A316),'Agenda 2026'!$N$2:$N$376,0)),"")</f>
        <v/>
      </c>
      <c r="J316" s="47"/>
      <c r="K316" s="48" t="str">
        <f t="array" ref="K316">IFERROR(HYPERLINK(INDEX('Agenda 2026'!J$2:J$376,MATCH(ROWS($A$7:$A316),'Agenda 2026'!$N$2:$N$376,0)),"Ver fuente ↗"),"")</f>
        <v/>
      </c>
      <c r="L316" s="49" t="str">
        <f t="array" ref="L316">IFERROR(INDEX('Agenda 2026'!K$2:K$376,MATCH(ROWS($A$7:$A316),'Agenda 2026'!$N$2:$N$376,0)),"")</f>
        <v/>
      </c>
      <c r="M316" s="50" t="str">
        <f t="array" ref="M316">IFERROR(INDEX('Agenda 2026'!O$2:O$376,MATCH(ROWS($A$7:$A316),'Agenda 2026'!$N$2:$N$376,0)),"")</f>
        <v/>
      </c>
    </row>
    <row r="317" spans="1:13" ht="42" customHeight="1" x14ac:dyDescent="0.35">
      <c r="A317" s="42" t="str">
        <f t="array" ref="A317">IFERROR(INDEX('Agenda 2026'!A$2:A$376,MATCH(ROWS($A$7:$A317),'Agenda 2026'!$N$2:$N$376,0)),"")</f>
        <v/>
      </c>
      <c r="B317" s="43" t="str">
        <f t="array" ref="B317">IFERROR(INDEX('Agenda 2026'!P$2:P$376,MATCH(ROWS($A$7:$A317),'Agenda 2026'!$N$2:$N$376,0)),"")</f>
        <v/>
      </c>
      <c r="C317" s="44" t="str">
        <f t="array" ref="C317">IFERROR(INDEX('Agenda 2026'!B$2:B$376,MATCH(ROWS($A$7:$A317),'Agenda 2026'!$N$2:$N$376,0)),"")</f>
        <v/>
      </c>
      <c r="D317" s="44" t="str">
        <f t="array" ref="D317">IFERROR(INDEX('Agenda 2026'!C$2:C$376,MATCH(ROWS($A$7:$A317),'Agenda 2026'!$N$2:$N$376,0)),"")</f>
        <v/>
      </c>
      <c r="E317" s="44" t="str">
        <f t="array" ref="E317">IFERROR(INDEX('Agenda 2026'!D$2:D$376,MATCH(ROWS($A$7:$A317),'Agenda 2026'!$N$2:$N$376,0)),"")</f>
        <v/>
      </c>
      <c r="F317" s="45" t="str">
        <f t="array" ref="F317">IFERROR(INDEX('Agenda 2026'!E$2:E$376,MATCH(ROWS($A$7:$A317),'Agenda 2026'!$N$2:$N$376,0)),"")</f>
        <v/>
      </c>
      <c r="G317" s="44" t="str">
        <f t="array" ref="G317">IFERROR(INDEX('Agenda 2026'!F$2:F$376,MATCH(ROWS($A$7:$A317),'Agenda 2026'!$N$2:$N$376,0)),"")</f>
        <v/>
      </c>
      <c r="H317" s="44" t="str">
        <f t="array" ref="H317">IFERROR(INDEX('Agenda 2026'!G$2:G$376,MATCH(ROWS($A$7:$A317),'Agenda 2026'!$N$2:$N$376,0)),"")</f>
        <v/>
      </c>
      <c r="I317" s="46" t="str">
        <f t="array" ref="I317">IFERROR(INDEX('Agenda 2026'!H$2:H$376,MATCH(ROWS($A$7:$A317),'Agenda 2026'!$N$2:$N$376,0)),"")</f>
        <v/>
      </c>
      <c r="J317" s="47"/>
      <c r="K317" s="48" t="str">
        <f t="array" ref="K317">IFERROR(HYPERLINK(INDEX('Agenda 2026'!J$2:J$376,MATCH(ROWS($A$7:$A317),'Agenda 2026'!$N$2:$N$376,0)),"Ver fuente ↗"),"")</f>
        <v/>
      </c>
      <c r="L317" s="49" t="str">
        <f t="array" ref="L317">IFERROR(INDEX('Agenda 2026'!K$2:K$376,MATCH(ROWS($A$7:$A317),'Agenda 2026'!$N$2:$N$376,0)),"")</f>
        <v/>
      </c>
      <c r="M317" s="50" t="str">
        <f t="array" ref="M317">IFERROR(INDEX('Agenda 2026'!O$2:O$376,MATCH(ROWS($A$7:$A317),'Agenda 2026'!$N$2:$N$376,0)),"")</f>
        <v/>
      </c>
    </row>
    <row r="318" spans="1:13" ht="42" customHeight="1" x14ac:dyDescent="0.35">
      <c r="A318" s="42" t="str">
        <f t="array" ref="A318">IFERROR(INDEX('Agenda 2026'!A$2:A$376,MATCH(ROWS($A$7:$A318),'Agenda 2026'!$N$2:$N$376,0)),"")</f>
        <v/>
      </c>
      <c r="B318" s="43" t="str">
        <f t="array" ref="B318">IFERROR(INDEX('Agenda 2026'!P$2:P$376,MATCH(ROWS($A$7:$A318),'Agenda 2026'!$N$2:$N$376,0)),"")</f>
        <v/>
      </c>
      <c r="C318" s="44" t="str">
        <f t="array" ref="C318">IFERROR(INDEX('Agenda 2026'!B$2:B$376,MATCH(ROWS($A$7:$A318),'Agenda 2026'!$N$2:$N$376,0)),"")</f>
        <v/>
      </c>
      <c r="D318" s="44" t="str">
        <f t="array" ref="D318">IFERROR(INDEX('Agenda 2026'!C$2:C$376,MATCH(ROWS($A$7:$A318),'Agenda 2026'!$N$2:$N$376,0)),"")</f>
        <v/>
      </c>
      <c r="E318" s="44" t="str">
        <f t="array" ref="E318">IFERROR(INDEX('Agenda 2026'!D$2:D$376,MATCH(ROWS($A$7:$A318),'Agenda 2026'!$N$2:$N$376,0)),"")</f>
        <v/>
      </c>
      <c r="F318" s="45" t="str">
        <f t="array" ref="F318">IFERROR(INDEX('Agenda 2026'!E$2:E$376,MATCH(ROWS($A$7:$A318),'Agenda 2026'!$N$2:$N$376,0)),"")</f>
        <v/>
      </c>
      <c r="G318" s="44" t="str">
        <f t="array" ref="G318">IFERROR(INDEX('Agenda 2026'!F$2:F$376,MATCH(ROWS($A$7:$A318),'Agenda 2026'!$N$2:$N$376,0)),"")</f>
        <v/>
      </c>
      <c r="H318" s="44" t="str">
        <f t="array" ref="H318">IFERROR(INDEX('Agenda 2026'!G$2:G$376,MATCH(ROWS($A$7:$A318),'Agenda 2026'!$N$2:$N$376,0)),"")</f>
        <v/>
      </c>
      <c r="I318" s="46" t="str">
        <f t="array" ref="I318">IFERROR(INDEX('Agenda 2026'!H$2:H$376,MATCH(ROWS($A$7:$A318),'Agenda 2026'!$N$2:$N$376,0)),"")</f>
        <v/>
      </c>
      <c r="J318" s="47"/>
      <c r="K318" s="48" t="str">
        <f t="array" ref="K318">IFERROR(HYPERLINK(INDEX('Agenda 2026'!J$2:J$376,MATCH(ROWS($A$7:$A318),'Agenda 2026'!$N$2:$N$376,0)),"Ver fuente ↗"),"")</f>
        <v/>
      </c>
      <c r="L318" s="49" t="str">
        <f t="array" ref="L318">IFERROR(INDEX('Agenda 2026'!K$2:K$376,MATCH(ROWS($A$7:$A318),'Agenda 2026'!$N$2:$N$376,0)),"")</f>
        <v/>
      </c>
      <c r="M318" s="50" t="str">
        <f t="array" ref="M318">IFERROR(INDEX('Agenda 2026'!O$2:O$376,MATCH(ROWS($A$7:$A318),'Agenda 2026'!$N$2:$N$376,0)),"")</f>
        <v/>
      </c>
    </row>
    <row r="319" spans="1:13" ht="42" customHeight="1" x14ac:dyDescent="0.35">
      <c r="A319" s="42" t="str">
        <f t="array" ref="A319">IFERROR(INDEX('Agenda 2026'!A$2:A$376,MATCH(ROWS($A$7:$A319),'Agenda 2026'!$N$2:$N$376,0)),"")</f>
        <v/>
      </c>
      <c r="B319" s="43" t="str">
        <f t="array" ref="B319">IFERROR(INDEX('Agenda 2026'!P$2:P$376,MATCH(ROWS($A$7:$A319),'Agenda 2026'!$N$2:$N$376,0)),"")</f>
        <v/>
      </c>
      <c r="C319" s="44" t="str">
        <f t="array" ref="C319">IFERROR(INDEX('Agenda 2026'!B$2:B$376,MATCH(ROWS($A$7:$A319),'Agenda 2026'!$N$2:$N$376,0)),"")</f>
        <v/>
      </c>
      <c r="D319" s="44" t="str">
        <f t="array" ref="D319">IFERROR(INDEX('Agenda 2026'!C$2:C$376,MATCH(ROWS($A$7:$A319),'Agenda 2026'!$N$2:$N$376,0)),"")</f>
        <v/>
      </c>
      <c r="E319" s="44" t="str">
        <f t="array" ref="E319">IFERROR(INDEX('Agenda 2026'!D$2:D$376,MATCH(ROWS($A$7:$A319),'Agenda 2026'!$N$2:$N$376,0)),"")</f>
        <v/>
      </c>
      <c r="F319" s="45" t="str">
        <f t="array" ref="F319">IFERROR(INDEX('Agenda 2026'!E$2:E$376,MATCH(ROWS($A$7:$A319),'Agenda 2026'!$N$2:$N$376,0)),"")</f>
        <v/>
      </c>
      <c r="G319" s="44" t="str">
        <f t="array" ref="G319">IFERROR(INDEX('Agenda 2026'!F$2:F$376,MATCH(ROWS($A$7:$A319),'Agenda 2026'!$N$2:$N$376,0)),"")</f>
        <v/>
      </c>
      <c r="H319" s="44" t="str">
        <f t="array" ref="H319">IFERROR(INDEX('Agenda 2026'!G$2:G$376,MATCH(ROWS($A$7:$A319),'Agenda 2026'!$N$2:$N$376,0)),"")</f>
        <v/>
      </c>
      <c r="I319" s="46" t="str">
        <f t="array" ref="I319">IFERROR(INDEX('Agenda 2026'!H$2:H$376,MATCH(ROWS($A$7:$A319),'Agenda 2026'!$N$2:$N$376,0)),"")</f>
        <v/>
      </c>
      <c r="J319" s="47"/>
      <c r="K319" s="48" t="str">
        <f t="array" ref="K319">IFERROR(HYPERLINK(INDEX('Agenda 2026'!J$2:J$376,MATCH(ROWS($A$7:$A319),'Agenda 2026'!$N$2:$N$376,0)),"Ver fuente ↗"),"")</f>
        <v/>
      </c>
      <c r="L319" s="49" t="str">
        <f t="array" ref="L319">IFERROR(INDEX('Agenda 2026'!K$2:K$376,MATCH(ROWS($A$7:$A319),'Agenda 2026'!$N$2:$N$376,0)),"")</f>
        <v/>
      </c>
      <c r="M319" s="50" t="str">
        <f t="array" ref="M319">IFERROR(INDEX('Agenda 2026'!O$2:O$376,MATCH(ROWS($A$7:$A319),'Agenda 2026'!$N$2:$N$376,0)),"")</f>
        <v/>
      </c>
    </row>
    <row r="320" spans="1:13" ht="42" customHeight="1" x14ac:dyDescent="0.35">
      <c r="A320" s="42" t="str">
        <f t="array" ref="A320">IFERROR(INDEX('Agenda 2026'!A$2:A$376,MATCH(ROWS($A$7:$A320),'Agenda 2026'!$N$2:$N$376,0)),"")</f>
        <v/>
      </c>
      <c r="B320" s="43" t="str">
        <f t="array" ref="B320">IFERROR(INDEX('Agenda 2026'!P$2:P$376,MATCH(ROWS($A$7:$A320),'Agenda 2026'!$N$2:$N$376,0)),"")</f>
        <v/>
      </c>
      <c r="C320" s="44" t="str">
        <f t="array" ref="C320">IFERROR(INDEX('Agenda 2026'!B$2:B$376,MATCH(ROWS($A$7:$A320),'Agenda 2026'!$N$2:$N$376,0)),"")</f>
        <v/>
      </c>
      <c r="D320" s="44" t="str">
        <f t="array" ref="D320">IFERROR(INDEX('Agenda 2026'!C$2:C$376,MATCH(ROWS($A$7:$A320),'Agenda 2026'!$N$2:$N$376,0)),"")</f>
        <v/>
      </c>
      <c r="E320" s="44" t="str">
        <f t="array" ref="E320">IFERROR(INDEX('Agenda 2026'!D$2:D$376,MATCH(ROWS($A$7:$A320),'Agenda 2026'!$N$2:$N$376,0)),"")</f>
        <v/>
      </c>
      <c r="F320" s="45" t="str">
        <f t="array" ref="F320">IFERROR(INDEX('Agenda 2026'!E$2:E$376,MATCH(ROWS($A$7:$A320),'Agenda 2026'!$N$2:$N$376,0)),"")</f>
        <v/>
      </c>
      <c r="G320" s="44" t="str">
        <f t="array" ref="G320">IFERROR(INDEX('Agenda 2026'!F$2:F$376,MATCH(ROWS($A$7:$A320),'Agenda 2026'!$N$2:$N$376,0)),"")</f>
        <v/>
      </c>
      <c r="H320" s="44" t="str">
        <f t="array" ref="H320">IFERROR(INDEX('Agenda 2026'!G$2:G$376,MATCH(ROWS($A$7:$A320),'Agenda 2026'!$N$2:$N$376,0)),"")</f>
        <v/>
      </c>
      <c r="I320" s="46" t="str">
        <f t="array" ref="I320">IFERROR(INDEX('Agenda 2026'!H$2:H$376,MATCH(ROWS($A$7:$A320),'Agenda 2026'!$N$2:$N$376,0)),"")</f>
        <v/>
      </c>
      <c r="J320" s="47"/>
      <c r="K320" s="48" t="str">
        <f t="array" ref="K320">IFERROR(HYPERLINK(INDEX('Agenda 2026'!J$2:J$376,MATCH(ROWS($A$7:$A320),'Agenda 2026'!$N$2:$N$376,0)),"Ver fuente ↗"),"")</f>
        <v/>
      </c>
      <c r="L320" s="49" t="str">
        <f t="array" ref="L320">IFERROR(INDEX('Agenda 2026'!K$2:K$376,MATCH(ROWS($A$7:$A320),'Agenda 2026'!$N$2:$N$376,0)),"")</f>
        <v/>
      </c>
      <c r="M320" s="50" t="str">
        <f t="array" ref="M320">IFERROR(INDEX('Agenda 2026'!O$2:O$376,MATCH(ROWS($A$7:$A320),'Agenda 2026'!$N$2:$N$376,0)),"")</f>
        <v/>
      </c>
    </row>
    <row r="321" spans="1:13" ht="42" customHeight="1" x14ac:dyDescent="0.35">
      <c r="A321" s="42" t="str">
        <f t="array" ref="A321">IFERROR(INDEX('Agenda 2026'!A$2:A$376,MATCH(ROWS($A$7:$A321),'Agenda 2026'!$N$2:$N$376,0)),"")</f>
        <v/>
      </c>
      <c r="B321" s="43" t="str">
        <f t="array" ref="B321">IFERROR(INDEX('Agenda 2026'!P$2:P$376,MATCH(ROWS($A$7:$A321),'Agenda 2026'!$N$2:$N$376,0)),"")</f>
        <v/>
      </c>
      <c r="C321" s="44" t="str">
        <f t="array" ref="C321">IFERROR(INDEX('Agenda 2026'!B$2:B$376,MATCH(ROWS($A$7:$A321),'Agenda 2026'!$N$2:$N$376,0)),"")</f>
        <v/>
      </c>
      <c r="D321" s="44" t="str">
        <f t="array" ref="D321">IFERROR(INDEX('Agenda 2026'!C$2:C$376,MATCH(ROWS($A$7:$A321),'Agenda 2026'!$N$2:$N$376,0)),"")</f>
        <v/>
      </c>
      <c r="E321" s="44" t="str">
        <f t="array" ref="E321">IFERROR(INDEX('Agenda 2026'!D$2:D$376,MATCH(ROWS($A$7:$A321),'Agenda 2026'!$N$2:$N$376,0)),"")</f>
        <v/>
      </c>
      <c r="F321" s="45" t="str">
        <f t="array" ref="F321">IFERROR(INDEX('Agenda 2026'!E$2:E$376,MATCH(ROWS($A$7:$A321),'Agenda 2026'!$N$2:$N$376,0)),"")</f>
        <v/>
      </c>
      <c r="G321" s="44" t="str">
        <f t="array" ref="G321">IFERROR(INDEX('Agenda 2026'!F$2:F$376,MATCH(ROWS($A$7:$A321),'Agenda 2026'!$N$2:$N$376,0)),"")</f>
        <v/>
      </c>
      <c r="H321" s="44" t="str">
        <f t="array" ref="H321">IFERROR(INDEX('Agenda 2026'!G$2:G$376,MATCH(ROWS($A$7:$A321),'Agenda 2026'!$N$2:$N$376,0)),"")</f>
        <v/>
      </c>
      <c r="I321" s="46" t="str">
        <f t="array" ref="I321">IFERROR(INDEX('Agenda 2026'!H$2:H$376,MATCH(ROWS($A$7:$A321),'Agenda 2026'!$N$2:$N$376,0)),"")</f>
        <v/>
      </c>
      <c r="J321" s="47"/>
      <c r="K321" s="48" t="str">
        <f t="array" ref="K321">IFERROR(HYPERLINK(INDEX('Agenda 2026'!J$2:J$376,MATCH(ROWS($A$7:$A321),'Agenda 2026'!$N$2:$N$376,0)),"Ver fuente ↗"),"")</f>
        <v/>
      </c>
      <c r="L321" s="49" t="str">
        <f t="array" ref="L321">IFERROR(INDEX('Agenda 2026'!K$2:K$376,MATCH(ROWS($A$7:$A321),'Agenda 2026'!$N$2:$N$376,0)),"")</f>
        <v/>
      </c>
      <c r="M321" s="50" t="str">
        <f t="array" ref="M321">IFERROR(INDEX('Agenda 2026'!O$2:O$376,MATCH(ROWS($A$7:$A321),'Agenda 2026'!$N$2:$N$376,0)),"")</f>
        <v/>
      </c>
    </row>
    <row r="322" spans="1:13" ht="42" customHeight="1" x14ac:dyDescent="0.35">
      <c r="A322" s="42" t="str">
        <f t="array" ref="A322">IFERROR(INDEX('Agenda 2026'!A$2:A$376,MATCH(ROWS($A$7:$A322),'Agenda 2026'!$N$2:$N$376,0)),"")</f>
        <v/>
      </c>
      <c r="B322" s="43" t="str">
        <f t="array" ref="B322">IFERROR(INDEX('Agenda 2026'!P$2:P$376,MATCH(ROWS($A$7:$A322),'Agenda 2026'!$N$2:$N$376,0)),"")</f>
        <v/>
      </c>
      <c r="C322" s="44" t="str">
        <f t="array" ref="C322">IFERROR(INDEX('Agenda 2026'!B$2:B$376,MATCH(ROWS($A$7:$A322),'Agenda 2026'!$N$2:$N$376,0)),"")</f>
        <v/>
      </c>
      <c r="D322" s="44" t="str">
        <f t="array" ref="D322">IFERROR(INDEX('Agenda 2026'!C$2:C$376,MATCH(ROWS($A$7:$A322),'Agenda 2026'!$N$2:$N$376,0)),"")</f>
        <v/>
      </c>
      <c r="E322" s="44" t="str">
        <f t="array" ref="E322">IFERROR(INDEX('Agenda 2026'!D$2:D$376,MATCH(ROWS($A$7:$A322),'Agenda 2026'!$N$2:$N$376,0)),"")</f>
        <v/>
      </c>
      <c r="F322" s="45" t="str">
        <f t="array" ref="F322">IFERROR(INDEX('Agenda 2026'!E$2:E$376,MATCH(ROWS($A$7:$A322),'Agenda 2026'!$N$2:$N$376,0)),"")</f>
        <v/>
      </c>
      <c r="G322" s="44" t="str">
        <f t="array" ref="G322">IFERROR(INDEX('Agenda 2026'!F$2:F$376,MATCH(ROWS($A$7:$A322),'Agenda 2026'!$N$2:$N$376,0)),"")</f>
        <v/>
      </c>
      <c r="H322" s="44" t="str">
        <f t="array" ref="H322">IFERROR(INDEX('Agenda 2026'!G$2:G$376,MATCH(ROWS($A$7:$A322),'Agenda 2026'!$N$2:$N$376,0)),"")</f>
        <v/>
      </c>
      <c r="I322" s="46" t="str">
        <f t="array" ref="I322">IFERROR(INDEX('Agenda 2026'!H$2:H$376,MATCH(ROWS($A$7:$A322),'Agenda 2026'!$N$2:$N$376,0)),"")</f>
        <v/>
      </c>
      <c r="J322" s="47"/>
      <c r="K322" s="48" t="str">
        <f t="array" ref="K322">IFERROR(HYPERLINK(INDEX('Agenda 2026'!J$2:J$376,MATCH(ROWS($A$7:$A322),'Agenda 2026'!$N$2:$N$376,0)),"Ver fuente ↗"),"")</f>
        <v/>
      </c>
      <c r="L322" s="49" t="str">
        <f t="array" ref="L322">IFERROR(INDEX('Agenda 2026'!K$2:K$376,MATCH(ROWS($A$7:$A322),'Agenda 2026'!$N$2:$N$376,0)),"")</f>
        <v/>
      </c>
      <c r="M322" s="50" t="str">
        <f t="array" ref="M322">IFERROR(INDEX('Agenda 2026'!O$2:O$376,MATCH(ROWS($A$7:$A322),'Agenda 2026'!$N$2:$N$376,0)),"")</f>
        <v/>
      </c>
    </row>
    <row r="323" spans="1:13" ht="42" customHeight="1" x14ac:dyDescent="0.35">
      <c r="A323" s="42" t="str">
        <f t="array" ref="A323">IFERROR(INDEX('Agenda 2026'!A$2:A$376,MATCH(ROWS($A$7:$A323),'Agenda 2026'!$N$2:$N$376,0)),"")</f>
        <v/>
      </c>
      <c r="B323" s="43" t="str">
        <f t="array" ref="B323">IFERROR(INDEX('Agenda 2026'!P$2:P$376,MATCH(ROWS($A$7:$A323),'Agenda 2026'!$N$2:$N$376,0)),"")</f>
        <v/>
      </c>
      <c r="C323" s="44" t="str">
        <f t="array" ref="C323">IFERROR(INDEX('Agenda 2026'!B$2:B$376,MATCH(ROWS($A$7:$A323),'Agenda 2026'!$N$2:$N$376,0)),"")</f>
        <v/>
      </c>
      <c r="D323" s="44" t="str">
        <f t="array" ref="D323">IFERROR(INDEX('Agenda 2026'!C$2:C$376,MATCH(ROWS($A$7:$A323),'Agenda 2026'!$N$2:$N$376,0)),"")</f>
        <v/>
      </c>
      <c r="E323" s="44" t="str">
        <f t="array" ref="E323">IFERROR(INDEX('Agenda 2026'!D$2:D$376,MATCH(ROWS($A$7:$A323),'Agenda 2026'!$N$2:$N$376,0)),"")</f>
        <v/>
      </c>
      <c r="F323" s="45" t="str">
        <f t="array" ref="F323">IFERROR(INDEX('Agenda 2026'!E$2:E$376,MATCH(ROWS($A$7:$A323),'Agenda 2026'!$N$2:$N$376,0)),"")</f>
        <v/>
      </c>
      <c r="G323" s="44" t="str">
        <f t="array" ref="G323">IFERROR(INDEX('Agenda 2026'!F$2:F$376,MATCH(ROWS($A$7:$A323),'Agenda 2026'!$N$2:$N$376,0)),"")</f>
        <v/>
      </c>
      <c r="H323" s="44" t="str">
        <f t="array" ref="H323">IFERROR(INDEX('Agenda 2026'!G$2:G$376,MATCH(ROWS($A$7:$A323),'Agenda 2026'!$N$2:$N$376,0)),"")</f>
        <v/>
      </c>
      <c r="I323" s="46" t="str">
        <f t="array" ref="I323">IFERROR(INDEX('Agenda 2026'!H$2:H$376,MATCH(ROWS($A$7:$A323),'Agenda 2026'!$N$2:$N$376,0)),"")</f>
        <v/>
      </c>
      <c r="J323" s="47"/>
      <c r="K323" s="48" t="str">
        <f t="array" ref="K323">IFERROR(HYPERLINK(INDEX('Agenda 2026'!J$2:J$376,MATCH(ROWS($A$7:$A323),'Agenda 2026'!$N$2:$N$376,0)),"Ver fuente ↗"),"")</f>
        <v/>
      </c>
      <c r="L323" s="49" t="str">
        <f t="array" ref="L323">IFERROR(INDEX('Agenda 2026'!K$2:K$376,MATCH(ROWS($A$7:$A323),'Agenda 2026'!$N$2:$N$376,0)),"")</f>
        <v/>
      </c>
      <c r="M323" s="50" t="str">
        <f t="array" ref="M323">IFERROR(INDEX('Agenda 2026'!O$2:O$376,MATCH(ROWS($A$7:$A323),'Agenda 2026'!$N$2:$N$376,0)),"")</f>
        <v/>
      </c>
    </row>
    <row r="324" spans="1:13" ht="42" customHeight="1" x14ac:dyDescent="0.35">
      <c r="A324" s="42" t="str">
        <f t="array" ref="A324">IFERROR(INDEX('Agenda 2026'!A$2:A$376,MATCH(ROWS($A$7:$A324),'Agenda 2026'!$N$2:$N$376,0)),"")</f>
        <v/>
      </c>
      <c r="B324" s="43" t="str">
        <f t="array" ref="B324">IFERROR(INDEX('Agenda 2026'!P$2:P$376,MATCH(ROWS($A$7:$A324),'Agenda 2026'!$N$2:$N$376,0)),"")</f>
        <v/>
      </c>
      <c r="C324" s="44" t="str">
        <f t="array" ref="C324">IFERROR(INDEX('Agenda 2026'!B$2:B$376,MATCH(ROWS($A$7:$A324),'Agenda 2026'!$N$2:$N$376,0)),"")</f>
        <v/>
      </c>
      <c r="D324" s="44" t="str">
        <f t="array" ref="D324">IFERROR(INDEX('Agenda 2026'!C$2:C$376,MATCH(ROWS($A$7:$A324),'Agenda 2026'!$N$2:$N$376,0)),"")</f>
        <v/>
      </c>
      <c r="E324" s="44" t="str">
        <f t="array" ref="E324">IFERROR(INDEX('Agenda 2026'!D$2:D$376,MATCH(ROWS($A$7:$A324),'Agenda 2026'!$N$2:$N$376,0)),"")</f>
        <v/>
      </c>
      <c r="F324" s="45" t="str">
        <f t="array" ref="F324">IFERROR(INDEX('Agenda 2026'!E$2:E$376,MATCH(ROWS($A$7:$A324),'Agenda 2026'!$N$2:$N$376,0)),"")</f>
        <v/>
      </c>
      <c r="G324" s="44" t="str">
        <f t="array" ref="G324">IFERROR(INDEX('Agenda 2026'!F$2:F$376,MATCH(ROWS($A$7:$A324),'Agenda 2026'!$N$2:$N$376,0)),"")</f>
        <v/>
      </c>
      <c r="H324" s="44" t="str">
        <f t="array" ref="H324">IFERROR(INDEX('Agenda 2026'!G$2:G$376,MATCH(ROWS($A$7:$A324),'Agenda 2026'!$N$2:$N$376,0)),"")</f>
        <v/>
      </c>
      <c r="I324" s="46" t="str">
        <f t="array" ref="I324">IFERROR(INDEX('Agenda 2026'!H$2:H$376,MATCH(ROWS($A$7:$A324),'Agenda 2026'!$N$2:$N$376,0)),"")</f>
        <v/>
      </c>
      <c r="J324" s="47"/>
      <c r="K324" s="48" t="str">
        <f t="array" ref="K324">IFERROR(HYPERLINK(INDEX('Agenda 2026'!J$2:J$376,MATCH(ROWS($A$7:$A324),'Agenda 2026'!$N$2:$N$376,0)),"Ver fuente ↗"),"")</f>
        <v/>
      </c>
      <c r="L324" s="49" t="str">
        <f t="array" ref="L324">IFERROR(INDEX('Agenda 2026'!K$2:K$376,MATCH(ROWS($A$7:$A324),'Agenda 2026'!$N$2:$N$376,0)),"")</f>
        <v/>
      </c>
      <c r="M324" s="50" t="str">
        <f t="array" ref="M324">IFERROR(INDEX('Agenda 2026'!O$2:O$376,MATCH(ROWS($A$7:$A324),'Agenda 2026'!$N$2:$N$376,0)),"")</f>
        <v/>
      </c>
    </row>
    <row r="325" spans="1:13" ht="42" customHeight="1" x14ac:dyDescent="0.35">
      <c r="A325" s="42" t="str">
        <f t="array" ref="A325">IFERROR(INDEX('Agenda 2026'!A$2:A$376,MATCH(ROWS($A$7:$A325),'Agenda 2026'!$N$2:$N$376,0)),"")</f>
        <v/>
      </c>
      <c r="B325" s="43" t="str">
        <f t="array" ref="B325">IFERROR(INDEX('Agenda 2026'!P$2:P$376,MATCH(ROWS($A$7:$A325),'Agenda 2026'!$N$2:$N$376,0)),"")</f>
        <v/>
      </c>
      <c r="C325" s="44" t="str">
        <f t="array" ref="C325">IFERROR(INDEX('Agenda 2026'!B$2:B$376,MATCH(ROWS($A$7:$A325),'Agenda 2026'!$N$2:$N$376,0)),"")</f>
        <v/>
      </c>
      <c r="D325" s="44" t="str">
        <f t="array" ref="D325">IFERROR(INDEX('Agenda 2026'!C$2:C$376,MATCH(ROWS($A$7:$A325),'Agenda 2026'!$N$2:$N$376,0)),"")</f>
        <v/>
      </c>
      <c r="E325" s="44" t="str">
        <f t="array" ref="E325">IFERROR(INDEX('Agenda 2026'!D$2:D$376,MATCH(ROWS($A$7:$A325),'Agenda 2026'!$N$2:$N$376,0)),"")</f>
        <v/>
      </c>
      <c r="F325" s="45" t="str">
        <f t="array" ref="F325">IFERROR(INDEX('Agenda 2026'!E$2:E$376,MATCH(ROWS($A$7:$A325),'Agenda 2026'!$N$2:$N$376,0)),"")</f>
        <v/>
      </c>
      <c r="G325" s="44" t="str">
        <f t="array" ref="G325">IFERROR(INDEX('Agenda 2026'!F$2:F$376,MATCH(ROWS($A$7:$A325),'Agenda 2026'!$N$2:$N$376,0)),"")</f>
        <v/>
      </c>
      <c r="H325" s="44" t="str">
        <f t="array" ref="H325">IFERROR(INDEX('Agenda 2026'!G$2:G$376,MATCH(ROWS($A$7:$A325),'Agenda 2026'!$N$2:$N$376,0)),"")</f>
        <v/>
      </c>
      <c r="I325" s="46" t="str">
        <f t="array" ref="I325">IFERROR(INDEX('Agenda 2026'!H$2:H$376,MATCH(ROWS($A$7:$A325),'Agenda 2026'!$N$2:$N$376,0)),"")</f>
        <v/>
      </c>
      <c r="J325" s="47"/>
      <c r="K325" s="48" t="str">
        <f t="array" ref="K325">IFERROR(HYPERLINK(INDEX('Agenda 2026'!J$2:J$376,MATCH(ROWS($A$7:$A325),'Agenda 2026'!$N$2:$N$376,0)),"Ver fuente ↗"),"")</f>
        <v/>
      </c>
      <c r="L325" s="49" t="str">
        <f t="array" ref="L325">IFERROR(INDEX('Agenda 2026'!K$2:K$376,MATCH(ROWS($A$7:$A325),'Agenda 2026'!$N$2:$N$376,0)),"")</f>
        <v/>
      </c>
      <c r="M325" s="50" t="str">
        <f t="array" ref="M325">IFERROR(INDEX('Agenda 2026'!O$2:O$376,MATCH(ROWS($A$7:$A325),'Agenda 2026'!$N$2:$N$376,0)),"")</f>
        <v/>
      </c>
    </row>
    <row r="326" spans="1:13" ht="42" customHeight="1" x14ac:dyDescent="0.35">
      <c r="A326" s="42" t="str">
        <f t="array" ref="A326">IFERROR(INDEX('Agenda 2026'!A$2:A$376,MATCH(ROWS($A$7:$A326),'Agenda 2026'!$N$2:$N$376,0)),"")</f>
        <v/>
      </c>
      <c r="B326" s="43" t="str">
        <f t="array" ref="B326">IFERROR(INDEX('Agenda 2026'!P$2:P$376,MATCH(ROWS($A$7:$A326),'Agenda 2026'!$N$2:$N$376,0)),"")</f>
        <v/>
      </c>
      <c r="C326" s="44" t="str">
        <f t="array" ref="C326">IFERROR(INDEX('Agenda 2026'!B$2:B$376,MATCH(ROWS($A$7:$A326),'Agenda 2026'!$N$2:$N$376,0)),"")</f>
        <v/>
      </c>
      <c r="D326" s="44" t="str">
        <f t="array" ref="D326">IFERROR(INDEX('Agenda 2026'!C$2:C$376,MATCH(ROWS($A$7:$A326),'Agenda 2026'!$N$2:$N$376,0)),"")</f>
        <v/>
      </c>
      <c r="E326" s="44" t="str">
        <f t="array" ref="E326">IFERROR(INDEX('Agenda 2026'!D$2:D$376,MATCH(ROWS($A$7:$A326),'Agenda 2026'!$N$2:$N$376,0)),"")</f>
        <v/>
      </c>
      <c r="F326" s="45" t="str">
        <f t="array" ref="F326">IFERROR(INDEX('Agenda 2026'!E$2:E$376,MATCH(ROWS($A$7:$A326),'Agenda 2026'!$N$2:$N$376,0)),"")</f>
        <v/>
      </c>
      <c r="G326" s="44" t="str">
        <f t="array" ref="G326">IFERROR(INDEX('Agenda 2026'!F$2:F$376,MATCH(ROWS($A$7:$A326),'Agenda 2026'!$N$2:$N$376,0)),"")</f>
        <v/>
      </c>
      <c r="H326" s="44" t="str">
        <f t="array" ref="H326">IFERROR(INDEX('Agenda 2026'!G$2:G$376,MATCH(ROWS($A$7:$A326),'Agenda 2026'!$N$2:$N$376,0)),"")</f>
        <v/>
      </c>
      <c r="I326" s="46" t="str">
        <f t="array" ref="I326">IFERROR(INDEX('Agenda 2026'!H$2:H$376,MATCH(ROWS($A$7:$A326),'Agenda 2026'!$N$2:$N$376,0)),"")</f>
        <v/>
      </c>
      <c r="J326" s="47"/>
      <c r="K326" s="48" t="str">
        <f t="array" ref="K326">IFERROR(HYPERLINK(INDEX('Agenda 2026'!J$2:J$376,MATCH(ROWS($A$7:$A326),'Agenda 2026'!$N$2:$N$376,0)),"Ver fuente ↗"),"")</f>
        <v/>
      </c>
      <c r="L326" s="49" t="str">
        <f t="array" ref="L326">IFERROR(INDEX('Agenda 2026'!K$2:K$376,MATCH(ROWS($A$7:$A326),'Agenda 2026'!$N$2:$N$376,0)),"")</f>
        <v/>
      </c>
      <c r="M326" s="50" t="str">
        <f t="array" ref="M326">IFERROR(INDEX('Agenda 2026'!O$2:O$376,MATCH(ROWS($A$7:$A326),'Agenda 2026'!$N$2:$N$376,0)),"")</f>
        <v/>
      </c>
    </row>
    <row r="327" spans="1:13" ht="42" customHeight="1" x14ac:dyDescent="0.35">
      <c r="A327" s="42" t="str">
        <f t="array" ref="A327">IFERROR(INDEX('Agenda 2026'!A$2:A$376,MATCH(ROWS($A$7:$A327),'Agenda 2026'!$N$2:$N$376,0)),"")</f>
        <v/>
      </c>
      <c r="B327" s="43" t="str">
        <f t="array" ref="B327">IFERROR(INDEX('Agenda 2026'!P$2:P$376,MATCH(ROWS($A$7:$A327),'Agenda 2026'!$N$2:$N$376,0)),"")</f>
        <v/>
      </c>
      <c r="C327" s="44" t="str">
        <f t="array" ref="C327">IFERROR(INDEX('Agenda 2026'!B$2:B$376,MATCH(ROWS($A$7:$A327),'Agenda 2026'!$N$2:$N$376,0)),"")</f>
        <v/>
      </c>
      <c r="D327" s="44" t="str">
        <f t="array" ref="D327">IFERROR(INDEX('Agenda 2026'!C$2:C$376,MATCH(ROWS($A$7:$A327),'Agenda 2026'!$N$2:$N$376,0)),"")</f>
        <v/>
      </c>
      <c r="E327" s="44" t="str">
        <f t="array" ref="E327">IFERROR(INDEX('Agenda 2026'!D$2:D$376,MATCH(ROWS($A$7:$A327),'Agenda 2026'!$N$2:$N$376,0)),"")</f>
        <v/>
      </c>
      <c r="F327" s="45" t="str">
        <f t="array" ref="F327">IFERROR(INDEX('Agenda 2026'!E$2:E$376,MATCH(ROWS($A$7:$A327),'Agenda 2026'!$N$2:$N$376,0)),"")</f>
        <v/>
      </c>
      <c r="G327" s="44" t="str">
        <f t="array" ref="G327">IFERROR(INDEX('Agenda 2026'!F$2:F$376,MATCH(ROWS($A$7:$A327),'Agenda 2026'!$N$2:$N$376,0)),"")</f>
        <v/>
      </c>
      <c r="H327" s="44" t="str">
        <f t="array" ref="H327">IFERROR(INDEX('Agenda 2026'!G$2:G$376,MATCH(ROWS($A$7:$A327),'Agenda 2026'!$N$2:$N$376,0)),"")</f>
        <v/>
      </c>
      <c r="I327" s="46" t="str">
        <f t="array" ref="I327">IFERROR(INDEX('Agenda 2026'!H$2:H$376,MATCH(ROWS($A$7:$A327),'Agenda 2026'!$N$2:$N$376,0)),"")</f>
        <v/>
      </c>
      <c r="J327" s="47"/>
      <c r="K327" s="48" t="str">
        <f t="array" ref="K327">IFERROR(HYPERLINK(INDEX('Agenda 2026'!J$2:J$376,MATCH(ROWS($A$7:$A327),'Agenda 2026'!$N$2:$N$376,0)),"Ver fuente ↗"),"")</f>
        <v/>
      </c>
      <c r="L327" s="49" t="str">
        <f t="array" ref="L327">IFERROR(INDEX('Agenda 2026'!K$2:K$376,MATCH(ROWS($A$7:$A327),'Agenda 2026'!$N$2:$N$376,0)),"")</f>
        <v/>
      </c>
      <c r="M327" s="50" t="str">
        <f t="array" ref="M327">IFERROR(INDEX('Agenda 2026'!O$2:O$376,MATCH(ROWS($A$7:$A327),'Agenda 2026'!$N$2:$N$376,0)),"")</f>
        <v/>
      </c>
    </row>
    <row r="328" spans="1:13" ht="42" customHeight="1" x14ac:dyDescent="0.35">
      <c r="A328" s="42" t="str">
        <f t="array" ref="A328">IFERROR(INDEX('Agenda 2026'!A$2:A$376,MATCH(ROWS($A$7:$A328),'Agenda 2026'!$N$2:$N$376,0)),"")</f>
        <v/>
      </c>
      <c r="B328" s="43" t="str">
        <f t="array" ref="B328">IFERROR(INDEX('Agenda 2026'!P$2:P$376,MATCH(ROWS($A$7:$A328),'Agenda 2026'!$N$2:$N$376,0)),"")</f>
        <v/>
      </c>
      <c r="C328" s="44" t="str">
        <f t="array" ref="C328">IFERROR(INDEX('Agenda 2026'!B$2:B$376,MATCH(ROWS($A$7:$A328),'Agenda 2026'!$N$2:$N$376,0)),"")</f>
        <v/>
      </c>
      <c r="D328" s="44" t="str">
        <f t="array" ref="D328">IFERROR(INDEX('Agenda 2026'!C$2:C$376,MATCH(ROWS($A$7:$A328),'Agenda 2026'!$N$2:$N$376,0)),"")</f>
        <v/>
      </c>
      <c r="E328" s="44" t="str">
        <f t="array" ref="E328">IFERROR(INDEX('Agenda 2026'!D$2:D$376,MATCH(ROWS($A$7:$A328),'Agenda 2026'!$N$2:$N$376,0)),"")</f>
        <v/>
      </c>
      <c r="F328" s="45" t="str">
        <f t="array" ref="F328">IFERROR(INDEX('Agenda 2026'!E$2:E$376,MATCH(ROWS($A$7:$A328),'Agenda 2026'!$N$2:$N$376,0)),"")</f>
        <v/>
      </c>
      <c r="G328" s="44" t="str">
        <f t="array" ref="G328">IFERROR(INDEX('Agenda 2026'!F$2:F$376,MATCH(ROWS($A$7:$A328),'Agenda 2026'!$N$2:$N$376,0)),"")</f>
        <v/>
      </c>
      <c r="H328" s="44" t="str">
        <f t="array" ref="H328">IFERROR(INDEX('Agenda 2026'!G$2:G$376,MATCH(ROWS($A$7:$A328),'Agenda 2026'!$N$2:$N$376,0)),"")</f>
        <v/>
      </c>
      <c r="I328" s="46" t="str">
        <f t="array" ref="I328">IFERROR(INDEX('Agenda 2026'!H$2:H$376,MATCH(ROWS($A$7:$A328),'Agenda 2026'!$N$2:$N$376,0)),"")</f>
        <v/>
      </c>
      <c r="J328" s="47"/>
      <c r="K328" s="48" t="str">
        <f t="array" ref="K328">IFERROR(HYPERLINK(INDEX('Agenda 2026'!J$2:J$376,MATCH(ROWS($A$7:$A328),'Agenda 2026'!$N$2:$N$376,0)),"Ver fuente ↗"),"")</f>
        <v/>
      </c>
      <c r="L328" s="49" t="str">
        <f t="array" ref="L328">IFERROR(INDEX('Agenda 2026'!K$2:K$376,MATCH(ROWS($A$7:$A328),'Agenda 2026'!$N$2:$N$376,0)),"")</f>
        <v/>
      </c>
      <c r="M328" s="50" t="str">
        <f t="array" ref="M328">IFERROR(INDEX('Agenda 2026'!O$2:O$376,MATCH(ROWS($A$7:$A328),'Agenda 2026'!$N$2:$N$376,0)),"")</f>
        <v/>
      </c>
    </row>
    <row r="329" spans="1:13" ht="42" customHeight="1" x14ac:dyDescent="0.35">
      <c r="A329" s="42" t="str">
        <f t="array" ref="A329">IFERROR(INDEX('Agenda 2026'!A$2:A$376,MATCH(ROWS($A$7:$A329),'Agenda 2026'!$N$2:$N$376,0)),"")</f>
        <v/>
      </c>
      <c r="B329" s="43" t="str">
        <f t="array" ref="B329">IFERROR(INDEX('Agenda 2026'!P$2:P$376,MATCH(ROWS($A$7:$A329),'Agenda 2026'!$N$2:$N$376,0)),"")</f>
        <v/>
      </c>
      <c r="C329" s="44" t="str">
        <f t="array" ref="C329">IFERROR(INDEX('Agenda 2026'!B$2:B$376,MATCH(ROWS($A$7:$A329),'Agenda 2026'!$N$2:$N$376,0)),"")</f>
        <v/>
      </c>
      <c r="D329" s="44" t="str">
        <f t="array" ref="D329">IFERROR(INDEX('Agenda 2026'!C$2:C$376,MATCH(ROWS($A$7:$A329),'Agenda 2026'!$N$2:$N$376,0)),"")</f>
        <v/>
      </c>
      <c r="E329" s="44" t="str">
        <f t="array" ref="E329">IFERROR(INDEX('Agenda 2026'!D$2:D$376,MATCH(ROWS($A$7:$A329),'Agenda 2026'!$N$2:$N$376,0)),"")</f>
        <v/>
      </c>
      <c r="F329" s="45" t="str">
        <f t="array" ref="F329">IFERROR(INDEX('Agenda 2026'!E$2:E$376,MATCH(ROWS($A$7:$A329),'Agenda 2026'!$N$2:$N$376,0)),"")</f>
        <v/>
      </c>
      <c r="G329" s="44" t="str">
        <f t="array" ref="G329">IFERROR(INDEX('Agenda 2026'!F$2:F$376,MATCH(ROWS($A$7:$A329),'Agenda 2026'!$N$2:$N$376,0)),"")</f>
        <v/>
      </c>
      <c r="H329" s="44" t="str">
        <f t="array" ref="H329">IFERROR(INDEX('Agenda 2026'!G$2:G$376,MATCH(ROWS($A$7:$A329),'Agenda 2026'!$N$2:$N$376,0)),"")</f>
        <v/>
      </c>
      <c r="I329" s="46" t="str">
        <f t="array" ref="I329">IFERROR(INDEX('Agenda 2026'!H$2:H$376,MATCH(ROWS($A$7:$A329),'Agenda 2026'!$N$2:$N$376,0)),"")</f>
        <v/>
      </c>
      <c r="J329" s="47"/>
      <c r="K329" s="48" t="str">
        <f t="array" ref="K329">IFERROR(HYPERLINK(INDEX('Agenda 2026'!J$2:J$376,MATCH(ROWS($A$7:$A329),'Agenda 2026'!$N$2:$N$376,0)),"Ver fuente ↗"),"")</f>
        <v/>
      </c>
      <c r="L329" s="49" t="str">
        <f t="array" ref="L329">IFERROR(INDEX('Agenda 2026'!K$2:K$376,MATCH(ROWS($A$7:$A329),'Agenda 2026'!$N$2:$N$376,0)),"")</f>
        <v/>
      </c>
      <c r="M329" s="50" t="str">
        <f t="array" ref="M329">IFERROR(INDEX('Agenda 2026'!O$2:O$376,MATCH(ROWS($A$7:$A329),'Agenda 2026'!$N$2:$N$376,0)),"")</f>
        <v/>
      </c>
    </row>
    <row r="330" spans="1:13" ht="42" customHeight="1" x14ac:dyDescent="0.35">
      <c r="A330" s="42" t="str">
        <f t="array" ref="A330">IFERROR(INDEX('Agenda 2026'!A$2:A$376,MATCH(ROWS($A$7:$A330),'Agenda 2026'!$N$2:$N$376,0)),"")</f>
        <v/>
      </c>
      <c r="B330" s="43" t="str">
        <f t="array" ref="B330">IFERROR(INDEX('Agenda 2026'!P$2:P$376,MATCH(ROWS($A$7:$A330),'Agenda 2026'!$N$2:$N$376,0)),"")</f>
        <v/>
      </c>
      <c r="C330" s="44" t="str">
        <f t="array" ref="C330">IFERROR(INDEX('Agenda 2026'!B$2:B$376,MATCH(ROWS($A$7:$A330),'Agenda 2026'!$N$2:$N$376,0)),"")</f>
        <v/>
      </c>
      <c r="D330" s="44" t="str">
        <f t="array" ref="D330">IFERROR(INDEX('Agenda 2026'!C$2:C$376,MATCH(ROWS($A$7:$A330),'Agenda 2026'!$N$2:$N$376,0)),"")</f>
        <v/>
      </c>
      <c r="E330" s="44" t="str">
        <f t="array" ref="E330">IFERROR(INDEX('Agenda 2026'!D$2:D$376,MATCH(ROWS($A$7:$A330),'Agenda 2026'!$N$2:$N$376,0)),"")</f>
        <v/>
      </c>
      <c r="F330" s="45" t="str">
        <f t="array" ref="F330">IFERROR(INDEX('Agenda 2026'!E$2:E$376,MATCH(ROWS($A$7:$A330),'Agenda 2026'!$N$2:$N$376,0)),"")</f>
        <v/>
      </c>
      <c r="G330" s="44" t="str">
        <f t="array" ref="G330">IFERROR(INDEX('Agenda 2026'!F$2:F$376,MATCH(ROWS($A$7:$A330),'Agenda 2026'!$N$2:$N$376,0)),"")</f>
        <v/>
      </c>
      <c r="H330" s="44" t="str">
        <f t="array" ref="H330">IFERROR(INDEX('Agenda 2026'!G$2:G$376,MATCH(ROWS($A$7:$A330),'Agenda 2026'!$N$2:$N$376,0)),"")</f>
        <v/>
      </c>
      <c r="I330" s="46" t="str">
        <f t="array" ref="I330">IFERROR(INDEX('Agenda 2026'!H$2:H$376,MATCH(ROWS($A$7:$A330),'Agenda 2026'!$N$2:$N$376,0)),"")</f>
        <v/>
      </c>
      <c r="J330" s="47"/>
      <c r="K330" s="48" t="str">
        <f t="array" ref="K330">IFERROR(HYPERLINK(INDEX('Agenda 2026'!J$2:J$376,MATCH(ROWS($A$7:$A330),'Agenda 2026'!$N$2:$N$376,0)),"Ver fuente ↗"),"")</f>
        <v/>
      </c>
      <c r="L330" s="49" t="str">
        <f t="array" ref="L330">IFERROR(INDEX('Agenda 2026'!K$2:K$376,MATCH(ROWS($A$7:$A330),'Agenda 2026'!$N$2:$N$376,0)),"")</f>
        <v/>
      </c>
      <c r="M330" s="50" t="str">
        <f t="array" ref="M330">IFERROR(INDEX('Agenda 2026'!O$2:O$376,MATCH(ROWS($A$7:$A330),'Agenda 2026'!$N$2:$N$376,0)),"")</f>
        <v/>
      </c>
    </row>
    <row r="331" spans="1:13" ht="42" customHeight="1" x14ac:dyDescent="0.35">
      <c r="A331" s="42" t="str">
        <f t="array" ref="A331">IFERROR(INDEX('Agenda 2026'!A$2:A$376,MATCH(ROWS($A$7:$A331),'Agenda 2026'!$N$2:$N$376,0)),"")</f>
        <v/>
      </c>
      <c r="B331" s="43" t="str">
        <f t="array" ref="B331">IFERROR(INDEX('Agenda 2026'!P$2:P$376,MATCH(ROWS($A$7:$A331),'Agenda 2026'!$N$2:$N$376,0)),"")</f>
        <v/>
      </c>
      <c r="C331" s="44" t="str">
        <f t="array" ref="C331">IFERROR(INDEX('Agenda 2026'!B$2:B$376,MATCH(ROWS($A$7:$A331),'Agenda 2026'!$N$2:$N$376,0)),"")</f>
        <v/>
      </c>
      <c r="D331" s="44" t="str">
        <f t="array" ref="D331">IFERROR(INDEX('Agenda 2026'!C$2:C$376,MATCH(ROWS($A$7:$A331),'Agenda 2026'!$N$2:$N$376,0)),"")</f>
        <v/>
      </c>
      <c r="E331" s="44" t="str">
        <f t="array" ref="E331">IFERROR(INDEX('Agenda 2026'!D$2:D$376,MATCH(ROWS($A$7:$A331),'Agenda 2026'!$N$2:$N$376,0)),"")</f>
        <v/>
      </c>
      <c r="F331" s="45" t="str">
        <f t="array" ref="F331">IFERROR(INDEX('Agenda 2026'!E$2:E$376,MATCH(ROWS($A$7:$A331),'Agenda 2026'!$N$2:$N$376,0)),"")</f>
        <v/>
      </c>
      <c r="G331" s="44" t="str">
        <f t="array" ref="G331">IFERROR(INDEX('Agenda 2026'!F$2:F$376,MATCH(ROWS($A$7:$A331),'Agenda 2026'!$N$2:$N$376,0)),"")</f>
        <v/>
      </c>
      <c r="H331" s="44" t="str">
        <f t="array" ref="H331">IFERROR(INDEX('Agenda 2026'!G$2:G$376,MATCH(ROWS($A$7:$A331),'Agenda 2026'!$N$2:$N$376,0)),"")</f>
        <v/>
      </c>
      <c r="I331" s="46" t="str">
        <f t="array" ref="I331">IFERROR(INDEX('Agenda 2026'!H$2:H$376,MATCH(ROWS($A$7:$A331),'Agenda 2026'!$N$2:$N$376,0)),"")</f>
        <v/>
      </c>
      <c r="J331" s="47"/>
      <c r="K331" s="48" t="str">
        <f t="array" ref="K331">IFERROR(HYPERLINK(INDEX('Agenda 2026'!J$2:J$376,MATCH(ROWS($A$7:$A331),'Agenda 2026'!$N$2:$N$376,0)),"Ver fuente ↗"),"")</f>
        <v/>
      </c>
      <c r="L331" s="49" t="str">
        <f t="array" ref="L331">IFERROR(INDEX('Agenda 2026'!K$2:K$376,MATCH(ROWS($A$7:$A331),'Agenda 2026'!$N$2:$N$376,0)),"")</f>
        <v/>
      </c>
      <c r="M331" s="50" t="str">
        <f t="array" ref="M331">IFERROR(INDEX('Agenda 2026'!O$2:O$376,MATCH(ROWS($A$7:$A331),'Agenda 2026'!$N$2:$N$376,0)),"")</f>
        <v/>
      </c>
    </row>
    <row r="332" spans="1:13" ht="42" customHeight="1" x14ac:dyDescent="0.35">
      <c r="A332" s="42" t="str">
        <f t="array" ref="A332">IFERROR(INDEX('Agenda 2026'!A$2:A$376,MATCH(ROWS($A$7:$A332),'Agenda 2026'!$N$2:$N$376,0)),"")</f>
        <v/>
      </c>
      <c r="B332" s="43" t="str">
        <f t="array" ref="B332">IFERROR(INDEX('Agenda 2026'!P$2:P$376,MATCH(ROWS($A$7:$A332),'Agenda 2026'!$N$2:$N$376,0)),"")</f>
        <v/>
      </c>
      <c r="C332" s="44" t="str">
        <f t="array" ref="C332">IFERROR(INDEX('Agenda 2026'!B$2:B$376,MATCH(ROWS($A$7:$A332),'Agenda 2026'!$N$2:$N$376,0)),"")</f>
        <v/>
      </c>
      <c r="D332" s="44" t="str">
        <f t="array" ref="D332">IFERROR(INDEX('Agenda 2026'!C$2:C$376,MATCH(ROWS($A$7:$A332),'Agenda 2026'!$N$2:$N$376,0)),"")</f>
        <v/>
      </c>
      <c r="E332" s="44" t="str">
        <f t="array" ref="E332">IFERROR(INDEX('Agenda 2026'!D$2:D$376,MATCH(ROWS($A$7:$A332),'Agenda 2026'!$N$2:$N$376,0)),"")</f>
        <v/>
      </c>
      <c r="F332" s="45" t="str">
        <f t="array" ref="F332">IFERROR(INDEX('Agenda 2026'!E$2:E$376,MATCH(ROWS($A$7:$A332),'Agenda 2026'!$N$2:$N$376,0)),"")</f>
        <v/>
      </c>
      <c r="G332" s="44" t="str">
        <f t="array" ref="G332">IFERROR(INDEX('Agenda 2026'!F$2:F$376,MATCH(ROWS($A$7:$A332),'Agenda 2026'!$N$2:$N$376,0)),"")</f>
        <v/>
      </c>
      <c r="H332" s="44" t="str">
        <f t="array" ref="H332">IFERROR(INDEX('Agenda 2026'!G$2:G$376,MATCH(ROWS($A$7:$A332),'Agenda 2026'!$N$2:$N$376,0)),"")</f>
        <v/>
      </c>
      <c r="I332" s="46" t="str">
        <f t="array" ref="I332">IFERROR(INDEX('Agenda 2026'!H$2:H$376,MATCH(ROWS($A$7:$A332),'Agenda 2026'!$N$2:$N$376,0)),"")</f>
        <v/>
      </c>
      <c r="J332" s="47"/>
      <c r="K332" s="48" t="str">
        <f t="array" ref="K332">IFERROR(HYPERLINK(INDEX('Agenda 2026'!J$2:J$376,MATCH(ROWS($A$7:$A332),'Agenda 2026'!$N$2:$N$376,0)),"Ver fuente ↗"),"")</f>
        <v/>
      </c>
      <c r="L332" s="49" t="str">
        <f t="array" ref="L332">IFERROR(INDEX('Agenda 2026'!K$2:K$376,MATCH(ROWS($A$7:$A332),'Agenda 2026'!$N$2:$N$376,0)),"")</f>
        <v/>
      </c>
      <c r="M332" s="50" t="str">
        <f t="array" ref="M332">IFERROR(INDEX('Agenda 2026'!O$2:O$376,MATCH(ROWS($A$7:$A332),'Agenda 2026'!$N$2:$N$376,0)),"")</f>
        <v/>
      </c>
    </row>
    <row r="333" spans="1:13" ht="42" customHeight="1" x14ac:dyDescent="0.35">
      <c r="A333" s="42" t="str">
        <f t="array" ref="A333">IFERROR(INDEX('Agenda 2026'!A$2:A$376,MATCH(ROWS($A$7:$A333),'Agenda 2026'!$N$2:$N$376,0)),"")</f>
        <v/>
      </c>
      <c r="B333" s="43" t="str">
        <f t="array" ref="B333">IFERROR(INDEX('Agenda 2026'!P$2:P$376,MATCH(ROWS($A$7:$A333),'Agenda 2026'!$N$2:$N$376,0)),"")</f>
        <v/>
      </c>
      <c r="C333" s="44" t="str">
        <f t="array" ref="C333">IFERROR(INDEX('Agenda 2026'!B$2:B$376,MATCH(ROWS($A$7:$A333),'Agenda 2026'!$N$2:$N$376,0)),"")</f>
        <v/>
      </c>
      <c r="D333" s="44" t="str">
        <f t="array" ref="D333">IFERROR(INDEX('Agenda 2026'!C$2:C$376,MATCH(ROWS($A$7:$A333),'Agenda 2026'!$N$2:$N$376,0)),"")</f>
        <v/>
      </c>
      <c r="E333" s="44" t="str">
        <f t="array" ref="E333">IFERROR(INDEX('Agenda 2026'!D$2:D$376,MATCH(ROWS($A$7:$A333),'Agenda 2026'!$N$2:$N$376,0)),"")</f>
        <v/>
      </c>
      <c r="F333" s="45" t="str">
        <f t="array" ref="F333">IFERROR(INDEX('Agenda 2026'!E$2:E$376,MATCH(ROWS($A$7:$A333),'Agenda 2026'!$N$2:$N$376,0)),"")</f>
        <v/>
      </c>
      <c r="G333" s="44" t="str">
        <f t="array" ref="G333">IFERROR(INDEX('Agenda 2026'!F$2:F$376,MATCH(ROWS($A$7:$A333),'Agenda 2026'!$N$2:$N$376,0)),"")</f>
        <v/>
      </c>
      <c r="H333" s="44" t="str">
        <f t="array" ref="H333">IFERROR(INDEX('Agenda 2026'!G$2:G$376,MATCH(ROWS($A$7:$A333),'Agenda 2026'!$N$2:$N$376,0)),"")</f>
        <v/>
      </c>
      <c r="I333" s="46" t="str">
        <f t="array" ref="I333">IFERROR(INDEX('Agenda 2026'!H$2:H$376,MATCH(ROWS($A$7:$A333),'Agenda 2026'!$N$2:$N$376,0)),"")</f>
        <v/>
      </c>
      <c r="J333" s="47"/>
      <c r="K333" s="48" t="str">
        <f t="array" ref="K333">IFERROR(HYPERLINK(INDEX('Agenda 2026'!J$2:J$376,MATCH(ROWS($A$7:$A333),'Agenda 2026'!$N$2:$N$376,0)),"Ver fuente ↗"),"")</f>
        <v/>
      </c>
      <c r="L333" s="49" t="str">
        <f t="array" ref="L333">IFERROR(INDEX('Agenda 2026'!K$2:K$376,MATCH(ROWS($A$7:$A333),'Agenda 2026'!$N$2:$N$376,0)),"")</f>
        <v/>
      </c>
      <c r="M333" s="50" t="str">
        <f t="array" ref="M333">IFERROR(INDEX('Agenda 2026'!O$2:O$376,MATCH(ROWS($A$7:$A333),'Agenda 2026'!$N$2:$N$376,0)),"")</f>
        <v/>
      </c>
    </row>
    <row r="334" spans="1:13" ht="42" customHeight="1" x14ac:dyDescent="0.35">
      <c r="A334" s="42" t="str">
        <f t="array" ref="A334">IFERROR(INDEX('Agenda 2026'!A$2:A$376,MATCH(ROWS($A$7:$A334),'Agenda 2026'!$N$2:$N$376,0)),"")</f>
        <v/>
      </c>
      <c r="B334" s="43" t="str">
        <f t="array" ref="B334">IFERROR(INDEX('Agenda 2026'!P$2:P$376,MATCH(ROWS($A$7:$A334),'Agenda 2026'!$N$2:$N$376,0)),"")</f>
        <v/>
      </c>
      <c r="C334" s="44" t="str">
        <f t="array" ref="C334">IFERROR(INDEX('Agenda 2026'!B$2:B$376,MATCH(ROWS($A$7:$A334),'Agenda 2026'!$N$2:$N$376,0)),"")</f>
        <v/>
      </c>
      <c r="D334" s="44" t="str">
        <f t="array" ref="D334">IFERROR(INDEX('Agenda 2026'!C$2:C$376,MATCH(ROWS($A$7:$A334),'Agenda 2026'!$N$2:$N$376,0)),"")</f>
        <v/>
      </c>
      <c r="E334" s="44" t="str">
        <f t="array" ref="E334">IFERROR(INDEX('Agenda 2026'!D$2:D$376,MATCH(ROWS($A$7:$A334),'Agenda 2026'!$N$2:$N$376,0)),"")</f>
        <v/>
      </c>
      <c r="F334" s="45" t="str">
        <f t="array" ref="F334">IFERROR(INDEX('Agenda 2026'!E$2:E$376,MATCH(ROWS($A$7:$A334),'Agenda 2026'!$N$2:$N$376,0)),"")</f>
        <v/>
      </c>
      <c r="G334" s="44" t="str">
        <f t="array" ref="G334">IFERROR(INDEX('Agenda 2026'!F$2:F$376,MATCH(ROWS($A$7:$A334),'Agenda 2026'!$N$2:$N$376,0)),"")</f>
        <v/>
      </c>
      <c r="H334" s="44" t="str">
        <f t="array" ref="H334">IFERROR(INDEX('Agenda 2026'!G$2:G$376,MATCH(ROWS($A$7:$A334),'Agenda 2026'!$N$2:$N$376,0)),"")</f>
        <v/>
      </c>
      <c r="I334" s="46" t="str">
        <f t="array" ref="I334">IFERROR(INDEX('Agenda 2026'!H$2:H$376,MATCH(ROWS($A$7:$A334),'Agenda 2026'!$N$2:$N$376,0)),"")</f>
        <v/>
      </c>
      <c r="J334" s="47"/>
      <c r="K334" s="48" t="str">
        <f t="array" ref="K334">IFERROR(HYPERLINK(INDEX('Agenda 2026'!J$2:J$376,MATCH(ROWS($A$7:$A334),'Agenda 2026'!$N$2:$N$376,0)),"Ver fuente ↗"),"")</f>
        <v/>
      </c>
      <c r="L334" s="49" t="str">
        <f t="array" ref="L334">IFERROR(INDEX('Agenda 2026'!K$2:K$376,MATCH(ROWS($A$7:$A334),'Agenda 2026'!$N$2:$N$376,0)),"")</f>
        <v/>
      </c>
      <c r="M334" s="50" t="str">
        <f t="array" ref="M334">IFERROR(INDEX('Agenda 2026'!O$2:O$376,MATCH(ROWS($A$7:$A334),'Agenda 2026'!$N$2:$N$376,0)),"")</f>
        <v/>
      </c>
    </row>
    <row r="335" spans="1:13" ht="42" customHeight="1" x14ac:dyDescent="0.35">
      <c r="A335" s="42" t="str">
        <f t="array" ref="A335">IFERROR(INDEX('Agenda 2026'!A$2:A$376,MATCH(ROWS($A$7:$A335),'Agenda 2026'!$N$2:$N$376,0)),"")</f>
        <v/>
      </c>
      <c r="B335" s="43" t="str">
        <f t="array" ref="B335">IFERROR(INDEX('Agenda 2026'!P$2:P$376,MATCH(ROWS($A$7:$A335),'Agenda 2026'!$N$2:$N$376,0)),"")</f>
        <v/>
      </c>
      <c r="C335" s="44" t="str">
        <f t="array" ref="C335">IFERROR(INDEX('Agenda 2026'!B$2:B$376,MATCH(ROWS($A$7:$A335),'Agenda 2026'!$N$2:$N$376,0)),"")</f>
        <v/>
      </c>
      <c r="D335" s="44" t="str">
        <f t="array" ref="D335">IFERROR(INDEX('Agenda 2026'!C$2:C$376,MATCH(ROWS($A$7:$A335),'Agenda 2026'!$N$2:$N$376,0)),"")</f>
        <v/>
      </c>
      <c r="E335" s="44" t="str">
        <f t="array" ref="E335">IFERROR(INDEX('Agenda 2026'!D$2:D$376,MATCH(ROWS($A$7:$A335),'Agenda 2026'!$N$2:$N$376,0)),"")</f>
        <v/>
      </c>
      <c r="F335" s="45" t="str">
        <f t="array" ref="F335">IFERROR(INDEX('Agenda 2026'!E$2:E$376,MATCH(ROWS($A$7:$A335),'Agenda 2026'!$N$2:$N$376,0)),"")</f>
        <v/>
      </c>
      <c r="G335" s="44" t="str">
        <f t="array" ref="G335">IFERROR(INDEX('Agenda 2026'!F$2:F$376,MATCH(ROWS($A$7:$A335),'Agenda 2026'!$N$2:$N$376,0)),"")</f>
        <v/>
      </c>
      <c r="H335" s="44" t="str">
        <f t="array" ref="H335">IFERROR(INDEX('Agenda 2026'!G$2:G$376,MATCH(ROWS($A$7:$A335),'Agenda 2026'!$N$2:$N$376,0)),"")</f>
        <v/>
      </c>
      <c r="I335" s="46" t="str">
        <f t="array" ref="I335">IFERROR(INDEX('Agenda 2026'!H$2:H$376,MATCH(ROWS($A$7:$A335),'Agenda 2026'!$N$2:$N$376,0)),"")</f>
        <v/>
      </c>
      <c r="J335" s="47"/>
      <c r="K335" s="48" t="str">
        <f t="array" ref="K335">IFERROR(HYPERLINK(INDEX('Agenda 2026'!J$2:J$376,MATCH(ROWS($A$7:$A335),'Agenda 2026'!$N$2:$N$376,0)),"Ver fuente ↗"),"")</f>
        <v/>
      </c>
      <c r="L335" s="49" t="str">
        <f t="array" ref="L335">IFERROR(INDEX('Agenda 2026'!K$2:K$376,MATCH(ROWS($A$7:$A335),'Agenda 2026'!$N$2:$N$376,0)),"")</f>
        <v/>
      </c>
      <c r="M335" s="50" t="str">
        <f t="array" ref="M335">IFERROR(INDEX('Agenda 2026'!O$2:O$376,MATCH(ROWS($A$7:$A335),'Agenda 2026'!$N$2:$N$376,0)),"")</f>
        <v/>
      </c>
    </row>
    <row r="336" spans="1:13" ht="42" customHeight="1" x14ac:dyDescent="0.35">
      <c r="A336" s="42" t="str">
        <f t="array" ref="A336">IFERROR(INDEX('Agenda 2026'!A$2:A$376,MATCH(ROWS($A$7:$A336),'Agenda 2026'!$N$2:$N$376,0)),"")</f>
        <v/>
      </c>
      <c r="B336" s="43" t="str">
        <f t="array" ref="B336">IFERROR(INDEX('Agenda 2026'!P$2:P$376,MATCH(ROWS($A$7:$A336),'Agenda 2026'!$N$2:$N$376,0)),"")</f>
        <v/>
      </c>
      <c r="C336" s="44" t="str">
        <f t="array" ref="C336">IFERROR(INDEX('Agenda 2026'!B$2:B$376,MATCH(ROWS($A$7:$A336),'Agenda 2026'!$N$2:$N$376,0)),"")</f>
        <v/>
      </c>
      <c r="D336" s="44" t="str">
        <f t="array" ref="D336">IFERROR(INDEX('Agenda 2026'!C$2:C$376,MATCH(ROWS($A$7:$A336),'Agenda 2026'!$N$2:$N$376,0)),"")</f>
        <v/>
      </c>
      <c r="E336" s="44" t="str">
        <f t="array" ref="E336">IFERROR(INDEX('Agenda 2026'!D$2:D$376,MATCH(ROWS($A$7:$A336),'Agenda 2026'!$N$2:$N$376,0)),"")</f>
        <v/>
      </c>
      <c r="F336" s="45" t="str">
        <f t="array" ref="F336">IFERROR(INDEX('Agenda 2026'!E$2:E$376,MATCH(ROWS($A$7:$A336),'Agenda 2026'!$N$2:$N$376,0)),"")</f>
        <v/>
      </c>
      <c r="G336" s="44" t="str">
        <f t="array" ref="G336">IFERROR(INDEX('Agenda 2026'!F$2:F$376,MATCH(ROWS($A$7:$A336),'Agenda 2026'!$N$2:$N$376,0)),"")</f>
        <v/>
      </c>
      <c r="H336" s="44" t="str">
        <f t="array" ref="H336">IFERROR(INDEX('Agenda 2026'!G$2:G$376,MATCH(ROWS($A$7:$A336),'Agenda 2026'!$N$2:$N$376,0)),"")</f>
        <v/>
      </c>
      <c r="I336" s="46" t="str">
        <f t="array" ref="I336">IFERROR(INDEX('Agenda 2026'!H$2:H$376,MATCH(ROWS($A$7:$A336),'Agenda 2026'!$N$2:$N$376,0)),"")</f>
        <v/>
      </c>
      <c r="J336" s="47"/>
      <c r="K336" s="48" t="str">
        <f t="array" ref="K336">IFERROR(HYPERLINK(INDEX('Agenda 2026'!J$2:J$376,MATCH(ROWS($A$7:$A336),'Agenda 2026'!$N$2:$N$376,0)),"Ver fuente ↗"),"")</f>
        <v/>
      </c>
      <c r="L336" s="49" t="str">
        <f t="array" ref="L336">IFERROR(INDEX('Agenda 2026'!K$2:K$376,MATCH(ROWS($A$7:$A336),'Agenda 2026'!$N$2:$N$376,0)),"")</f>
        <v/>
      </c>
      <c r="M336" s="50" t="str">
        <f t="array" ref="M336">IFERROR(INDEX('Agenda 2026'!O$2:O$376,MATCH(ROWS($A$7:$A336),'Agenda 2026'!$N$2:$N$376,0)),"")</f>
        <v/>
      </c>
    </row>
    <row r="337" spans="1:13" ht="42" customHeight="1" x14ac:dyDescent="0.35">
      <c r="A337" s="42" t="str">
        <f t="array" ref="A337">IFERROR(INDEX('Agenda 2026'!A$2:A$376,MATCH(ROWS($A$7:$A337),'Agenda 2026'!$N$2:$N$376,0)),"")</f>
        <v/>
      </c>
      <c r="B337" s="43" t="str">
        <f t="array" ref="B337">IFERROR(INDEX('Agenda 2026'!P$2:P$376,MATCH(ROWS($A$7:$A337),'Agenda 2026'!$N$2:$N$376,0)),"")</f>
        <v/>
      </c>
      <c r="C337" s="44" t="str">
        <f t="array" ref="C337">IFERROR(INDEX('Agenda 2026'!B$2:B$376,MATCH(ROWS($A$7:$A337),'Agenda 2026'!$N$2:$N$376,0)),"")</f>
        <v/>
      </c>
      <c r="D337" s="44" t="str">
        <f t="array" ref="D337">IFERROR(INDEX('Agenda 2026'!C$2:C$376,MATCH(ROWS($A$7:$A337),'Agenda 2026'!$N$2:$N$376,0)),"")</f>
        <v/>
      </c>
      <c r="E337" s="44" t="str">
        <f t="array" ref="E337">IFERROR(INDEX('Agenda 2026'!D$2:D$376,MATCH(ROWS($A$7:$A337),'Agenda 2026'!$N$2:$N$376,0)),"")</f>
        <v/>
      </c>
      <c r="F337" s="45" t="str">
        <f t="array" ref="F337">IFERROR(INDEX('Agenda 2026'!E$2:E$376,MATCH(ROWS($A$7:$A337),'Agenda 2026'!$N$2:$N$376,0)),"")</f>
        <v/>
      </c>
      <c r="G337" s="44" t="str">
        <f t="array" ref="G337">IFERROR(INDEX('Agenda 2026'!F$2:F$376,MATCH(ROWS($A$7:$A337),'Agenda 2026'!$N$2:$N$376,0)),"")</f>
        <v/>
      </c>
      <c r="H337" s="44" t="str">
        <f t="array" ref="H337">IFERROR(INDEX('Agenda 2026'!G$2:G$376,MATCH(ROWS($A$7:$A337),'Agenda 2026'!$N$2:$N$376,0)),"")</f>
        <v/>
      </c>
      <c r="I337" s="46" t="str">
        <f t="array" ref="I337">IFERROR(INDEX('Agenda 2026'!H$2:H$376,MATCH(ROWS($A$7:$A337),'Agenda 2026'!$N$2:$N$376,0)),"")</f>
        <v/>
      </c>
      <c r="J337" s="47"/>
      <c r="K337" s="48" t="str">
        <f t="array" ref="K337">IFERROR(HYPERLINK(INDEX('Agenda 2026'!J$2:J$376,MATCH(ROWS($A$7:$A337),'Agenda 2026'!$N$2:$N$376,0)),"Ver fuente ↗"),"")</f>
        <v/>
      </c>
      <c r="L337" s="49" t="str">
        <f t="array" ref="L337">IFERROR(INDEX('Agenda 2026'!K$2:K$376,MATCH(ROWS($A$7:$A337),'Agenda 2026'!$N$2:$N$376,0)),"")</f>
        <v/>
      </c>
      <c r="M337" s="50" t="str">
        <f t="array" ref="M337">IFERROR(INDEX('Agenda 2026'!O$2:O$376,MATCH(ROWS($A$7:$A337),'Agenda 2026'!$N$2:$N$376,0)),"")</f>
        <v/>
      </c>
    </row>
    <row r="338" spans="1:13" ht="42" customHeight="1" x14ac:dyDescent="0.35">
      <c r="A338" s="42" t="str">
        <f t="array" ref="A338">IFERROR(INDEX('Agenda 2026'!A$2:A$376,MATCH(ROWS($A$7:$A338),'Agenda 2026'!$N$2:$N$376,0)),"")</f>
        <v/>
      </c>
      <c r="B338" s="43" t="str">
        <f t="array" ref="B338">IFERROR(INDEX('Agenda 2026'!P$2:P$376,MATCH(ROWS($A$7:$A338),'Agenda 2026'!$N$2:$N$376,0)),"")</f>
        <v/>
      </c>
      <c r="C338" s="44" t="str">
        <f t="array" ref="C338">IFERROR(INDEX('Agenda 2026'!B$2:B$376,MATCH(ROWS($A$7:$A338),'Agenda 2026'!$N$2:$N$376,0)),"")</f>
        <v/>
      </c>
      <c r="D338" s="44" t="str">
        <f t="array" ref="D338">IFERROR(INDEX('Agenda 2026'!C$2:C$376,MATCH(ROWS($A$7:$A338),'Agenda 2026'!$N$2:$N$376,0)),"")</f>
        <v/>
      </c>
      <c r="E338" s="44" t="str">
        <f t="array" ref="E338">IFERROR(INDEX('Agenda 2026'!D$2:D$376,MATCH(ROWS($A$7:$A338),'Agenda 2026'!$N$2:$N$376,0)),"")</f>
        <v/>
      </c>
      <c r="F338" s="45" t="str">
        <f t="array" ref="F338">IFERROR(INDEX('Agenda 2026'!E$2:E$376,MATCH(ROWS($A$7:$A338),'Agenda 2026'!$N$2:$N$376,0)),"")</f>
        <v/>
      </c>
      <c r="G338" s="44" t="str">
        <f t="array" ref="G338">IFERROR(INDEX('Agenda 2026'!F$2:F$376,MATCH(ROWS($A$7:$A338),'Agenda 2026'!$N$2:$N$376,0)),"")</f>
        <v/>
      </c>
      <c r="H338" s="44" t="str">
        <f t="array" ref="H338">IFERROR(INDEX('Agenda 2026'!G$2:G$376,MATCH(ROWS($A$7:$A338),'Agenda 2026'!$N$2:$N$376,0)),"")</f>
        <v/>
      </c>
      <c r="I338" s="46" t="str">
        <f t="array" ref="I338">IFERROR(INDEX('Agenda 2026'!H$2:H$376,MATCH(ROWS($A$7:$A338),'Agenda 2026'!$N$2:$N$376,0)),"")</f>
        <v/>
      </c>
      <c r="J338" s="47"/>
      <c r="K338" s="48" t="str">
        <f t="array" ref="K338">IFERROR(HYPERLINK(INDEX('Agenda 2026'!J$2:J$376,MATCH(ROWS($A$7:$A338),'Agenda 2026'!$N$2:$N$376,0)),"Ver fuente ↗"),"")</f>
        <v/>
      </c>
      <c r="L338" s="49" t="str">
        <f t="array" ref="L338">IFERROR(INDEX('Agenda 2026'!K$2:K$376,MATCH(ROWS($A$7:$A338),'Agenda 2026'!$N$2:$N$376,0)),"")</f>
        <v/>
      </c>
      <c r="M338" s="50" t="str">
        <f t="array" ref="M338">IFERROR(INDEX('Agenda 2026'!O$2:O$376,MATCH(ROWS($A$7:$A338),'Agenda 2026'!$N$2:$N$376,0)),"")</f>
        <v/>
      </c>
    </row>
    <row r="339" spans="1:13" ht="42" customHeight="1" x14ac:dyDescent="0.35">
      <c r="A339" s="42" t="str">
        <f t="array" ref="A339">IFERROR(INDEX('Agenda 2026'!A$2:A$376,MATCH(ROWS($A$7:$A339),'Agenda 2026'!$N$2:$N$376,0)),"")</f>
        <v/>
      </c>
      <c r="B339" s="43" t="str">
        <f t="array" ref="B339">IFERROR(INDEX('Agenda 2026'!P$2:P$376,MATCH(ROWS($A$7:$A339),'Agenda 2026'!$N$2:$N$376,0)),"")</f>
        <v/>
      </c>
      <c r="C339" s="44" t="str">
        <f t="array" ref="C339">IFERROR(INDEX('Agenda 2026'!B$2:B$376,MATCH(ROWS($A$7:$A339),'Agenda 2026'!$N$2:$N$376,0)),"")</f>
        <v/>
      </c>
      <c r="D339" s="44" t="str">
        <f t="array" ref="D339">IFERROR(INDEX('Agenda 2026'!C$2:C$376,MATCH(ROWS($A$7:$A339),'Agenda 2026'!$N$2:$N$376,0)),"")</f>
        <v/>
      </c>
      <c r="E339" s="44" t="str">
        <f t="array" ref="E339">IFERROR(INDEX('Agenda 2026'!D$2:D$376,MATCH(ROWS($A$7:$A339),'Agenda 2026'!$N$2:$N$376,0)),"")</f>
        <v/>
      </c>
      <c r="F339" s="45" t="str">
        <f t="array" ref="F339">IFERROR(INDEX('Agenda 2026'!E$2:E$376,MATCH(ROWS($A$7:$A339),'Agenda 2026'!$N$2:$N$376,0)),"")</f>
        <v/>
      </c>
      <c r="G339" s="44" t="str">
        <f t="array" ref="G339">IFERROR(INDEX('Agenda 2026'!F$2:F$376,MATCH(ROWS($A$7:$A339),'Agenda 2026'!$N$2:$N$376,0)),"")</f>
        <v/>
      </c>
      <c r="H339" s="44" t="str">
        <f t="array" ref="H339">IFERROR(INDEX('Agenda 2026'!G$2:G$376,MATCH(ROWS($A$7:$A339),'Agenda 2026'!$N$2:$N$376,0)),"")</f>
        <v/>
      </c>
      <c r="I339" s="46" t="str">
        <f t="array" ref="I339">IFERROR(INDEX('Agenda 2026'!H$2:H$376,MATCH(ROWS($A$7:$A339),'Agenda 2026'!$N$2:$N$376,0)),"")</f>
        <v/>
      </c>
      <c r="J339" s="47"/>
      <c r="K339" s="48" t="str">
        <f t="array" ref="K339">IFERROR(HYPERLINK(INDEX('Agenda 2026'!J$2:J$376,MATCH(ROWS($A$7:$A339),'Agenda 2026'!$N$2:$N$376,0)),"Ver fuente ↗"),"")</f>
        <v/>
      </c>
      <c r="L339" s="49" t="str">
        <f t="array" ref="L339">IFERROR(INDEX('Agenda 2026'!K$2:K$376,MATCH(ROWS($A$7:$A339),'Agenda 2026'!$N$2:$N$376,0)),"")</f>
        <v/>
      </c>
      <c r="M339" s="50" t="str">
        <f t="array" ref="M339">IFERROR(INDEX('Agenda 2026'!O$2:O$376,MATCH(ROWS($A$7:$A339),'Agenda 2026'!$N$2:$N$376,0)),"")</f>
        <v/>
      </c>
    </row>
    <row r="340" spans="1:13" ht="42" customHeight="1" x14ac:dyDescent="0.35">
      <c r="A340" s="42" t="str">
        <f t="array" ref="A340">IFERROR(INDEX('Agenda 2026'!A$2:A$376,MATCH(ROWS($A$7:$A340),'Agenda 2026'!$N$2:$N$376,0)),"")</f>
        <v/>
      </c>
      <c r="B340" s="43" t="str">
        <f t="array" ref="B340">IFERROR(INDEX('Agenda 2026'!P$2:P$376,MATCH(ROWS($A$7:$A340),'Agenda 2026'!$N$2:$N$376,0)),"")</f>
        <v/>
      </c>
      <c r="C340" s="44" t="str">
        <f t="array" ref="C340">IFERROR(INDEX('Agenda 2026'!B$2:B$376,MATCH(ROWS($A$7:$A340),'Agenda 2026'!$N$2:$N$376,0)),"")</f>
        <v/>
      </c>
      <c r="D340" s="44" t="str">
        <f t="array" ref="D340">IFERROR(INDEX('Agenda 2026'!C$2:C$376,MATCH(ROWS($A$7:$A340),'Agenda 2026'!$N$2:$N$376,0)),"")</f>
        <v/>
      </c>
      <c r="E340" s="44" t="str">
        <f t="array" ref="E340">IFERROR(INDEX('Agenda 2026'!D$2:D$376,MATCH(ROWS($A$7:$A340),'Agenda 2026'!$N$2:$N$376,0)),"")</f>
        <v/>
      </c>
      <c r="F340" s="45" t="str">
        <f t="array" ref="F340">IFERROR(INDEX('Agenda 2026'!E$2:E$376,MATCH(ROWS($A$7:$A340),'Agenda 2026'!$N$2:$N$376,0)),"")</f>
        <v/>
      </c>
      <c r="G340" s="44" t="str">
        <f t="array" ref="G340">IFERROR(INDEX('Agenda 2026'!F$2:F$376,MATCH(ROWS($A$7:$A340),'Agenda 2026'!$N$2:$N$376,0)),"")</f>
        <v/>
      </c>
      <c r="H340" s="44" t="str">
        <f t="array" ref="H340">IFERROR(INDEX('Agenda 2026'!G$2:G$376,MATCH(ROWS($A$7:$A340),'Agenda 2026'!$N$2:$N$376,0)),"")</f>
        <v/>
      </c>
      <c r="I340" s="46" t="str">
        <f t="array" ref="I340">IFERROR(INDEX('Agenda 2026'!H$2:H$376,MATCH(ROWS($A$7:$A340),'Agenda 2026'!$N$2:$N$376,0)),"")</f>
        <v/>
      </c>
      <c r="J340" s="47"/>
      <c r="K340" s="48" t="str">
        <f t="array" ref="K340">IFERROR(HYPERLINK(INDEX('Agenda 2026'!J$2:J$376,MATCH(ROWS($A$7:$A340),'Agenda 2026'!$N$2:$N$376,0)),"Ver fuente ↗"),"")</f>
        <v/>
      </c>
      <c r="L340" s="49" t="str">
        <f t="array" ref="L340">IFERROR(INDEX('Agenda 2026'!K$2:K$376,MATCH(ROWS($A$7:$A340),'Agenda 2026'!$N$2:$N$376,0)),"")</f>
        <v/>
      </c>
      <c r="M340" s="50" t="str">
        <f t="array" ref="M340">IFERROR(INDEX('Agenda 2026'!O$2:O$376,MATCH(ROWS($A$7:$A340),'Agenda 2026'!$N$2:$N$376,0)),"")</f>
        <v/>
      </c>
    </row>
    <row r="341" spans="1:13" ht="42" customHeight="1" x14ac:dyDescent="0.35">
      <c r="A341" s="42" t="str">
        <f t="array" ref="A341">IFERROR(INDEX('Agenda 2026'!A$2:A$376,MATCH(ROWS($A$7:$A341),'Agenda 2026'!$N$2:$N$376,0)),"")</f>
        <v/>
      </c>
      <c r="B341" s="43" t="str">
        <f t="array" ref="B341">IFERROR(INDEX('Agenda 2026'!P$2:P$376,MATCH(ROWS($A$7:$A341),'Agenda 2026'!$N$2:$N$376,0)),"")</f>
        <v/>
      </c>
      <c r="C341" s="44" t="str">
        <f t="array" ref="C341">IFERROR(INDEX('Agenda 2026'!B$2:B$376,MATCH(ROWS($A$7:$A341),'Agenda 2026'!$N$2:$N$376,0)),"")</f>
        <v/>
      </c>
      <c r="D341" s="44" t="str">
        <f t="array" ref="D341">IFERROR(INDEX('Agenda 2026'!C$2:C$376,MATCH(ROWS($A$7:$A341),'Agenda 2026'!$N$2:$N$376,0)),"")</f>
        <v/>
      </c>
      <c r="E341" s="44" t="str">
        <f t="array" ref="E341">IFERROR(INDEX('Agenda 2026'!D$2:D$376,MATCH(ROWS($A$7:$A341),'Agenda 2026'!$N$2:$N$376,0)),"")</f>
        <v/>
      </c>
      <c r="F341" s="45" t="str">
        <f t="array" ref="F341">IFERROR(INDEX('Agenda 2026'!E$2:E$376,MATCH(ROWS($A$7:$A341),'Agenda 2026'!$N$2:$N$376,0)),"")</f>
        <v/>
      </c>
      <c r="G341" s="44" t="str">
        <f t="array" ref="G341">IFERROR(INDEX('Agenda 2026'!F$2:F$376,MATCH(ROWS($A$7:$A341),'Agenda 2026'!$N$2:$N$376,0)),"")</f>
        <v/>
      </c>
      <c r="H341" s="44" t="str">
        <f t="array" ref="H341">IFERROR(INDEX('Agenda 2026'!G$2:G$376,MATCH(ROWS($A$7:$A341),'Agenda 2026'!$N$2:$N$376,0)),"")</f>
        <v/>
      </c>
      <c r="I341" s="46" t="str">
        <f t="array" ref="I341">IFERROR(INDEX('Agenda 2026'!H$2:H$376,MATCH(ROWS($A$7:$A341),'Agenda 2026'!$N$2:$N$376,0)),"")</f>
        <v/>
      </c>
      <c r="J341" s="47"/>
      <c r="K341" s="48" t="str">
        <f t="array" ref="K341">IFERROR(HYPERLINK(INDEX('Agenda 2026'!J$2:J$376,MATCH(ROWS($A$7:$A341),'Agenda 2026'!$N$2:$N$376,0)),"Ver fuente ↗"),"")</f>
        <v/>
      </c>
      <c r="L341" s="49" t="str">
        <f t="array" ref="L341">IFERROR(INDEX('Agenda 2026'!K$2:K$376,MATCH(ROWS($A$7:$A341),'Agenda 2026'!$N$2:$N$376,0)),"")</f>
        <v/>
      </c>
      <c r="M341" s="50" t="str">
        <f t="array" ref="M341">IFERROR(INDEX('Agenda 2026'!O$2:O$376,MATCH(ROWS($A$7:$A341),'Agenda 2026'!$N$2:$N$376,0)),"")</f>
        <v/>
      </c>
    </row>
    <row r="342" spans="1:13" ht="42" customHeight="1" x14ac:dyDescent="0.35">
      <c r="A342" s="42" t="str">
        <f t="array" ref="A342">IFERROR(INDEX('Agenda 2026'!A$2:A$376,MATCH(ROWS($A$7:$A342),'Agenda 2026'!$N$2:$N$376,0)),"")</f>
        <v/>
      </c>
      <c r="B342" s="43" t="str">
        <f t="array" ref="B342">IFERROR(INDEX('Agenda 2026'!P$2:P$376,MATCH(ROWS($A$7:$A342),'Agenda 2026'!$N$2:$N$376,0)),"")</f>
        <v/>
      </c>
      <c r="C342" s="44" t="str">
        <f t="array" ref="C342">IFERROR(INDEX('Agenda 2026'!B$2:B$376,MATCH(ROWS($A$7:$A342),'Agenda 2026'!$N$2:$N$376,0)),"")</f>
        <v/>
      </c>
      <c r="D342" s="44" t="str">
        <f t="array" ref="D342">IFERROR(INDEX('Agenda 2026'!C$2:C$376,MATCH(ROWS($A$7:$A342),'Agenda 2026'!$N$2:$N$376,0)),"")</f>
        <v/>
      </c>
      <c r="E342" s="44" t="str">
        <f t="array" ref="E342">IFERROR(INDEX('Agenda 2026'!D$2:D$376,MATCH(ROWS($A$7:$A342),'Agenda 2026'!$N$2:$N$376,0)),"")</f>
        <v/>
      </c>
      <c r="F342" s="45" t="str">
        <f t="array" ref="F342">IFERROR(INDEX('Agenda 2026'!E$2:E$376,MATCH(ROWS($A$7:$A342),'Agenda 2026'!$N$2:$N$376,0)),"")</f>
        <v/>
      </c>
      <c r="G342" s="44" t="str">
        <f t="array" ref="G342">IFERROR(INDEX('Agenda 2026'!F$2:F$376,MATCH(ROWS($A$7:$A342),'Agenda 2026'!$N$2:$N$376,0)),"")</f>
        <v/>
      </c>
      <c r="H342" s="44" t="str">
        <f t="array" ref="H342">IFERROR(INDEX('Agenda 2026'!G$2:G$376,MATCH(ROWS($A$7:$A342),'Agenda 2026'!$N$2:$N$376,0)),"")</f>
        <v/>
      </c>
      <c r="I342" s="46" t="str">
        <f t="array" ref="I342">IFERROR(INDEX('Agenda 2026'!H$2:H$376,MATCH(ROWS($A$7:$A342),'Agenda 2026'!$N$2:$N$376,0)),"")</f>
        <v/>
      </c>
      <c r="J342" s="47"/>
      <c r="K342" s="48" t="str">
        <f t="array" ref="K342">IFERROR(HYPERLINK(INDEX('Agenda 2026'!J$2:J$376,MATCH(ROWS($A$7:$A342),'Agenda 2026'!$N$2:$N$376,0)),"Ver fuente ↗"),"")</f>
        <v/>
      </c>
      <c r="L342" s="49" t="str">
        <f t="array" ref="L342">IFERROR(INDEX('Agenda 2026'!K$2:K$376,MATCH(ROWS($A$7:$A342),'Agenda 2026'!$N$2:$N$376,0)),"")</f>
        <v/>
      </c>
      <c r="M342" s="50" t="str">
        <f t="array" ref="M342">IFERROR(INDEX('Agenda 2026'!O$2:O$376,MATCH(ROWS($A$7:$A342),'Agenda 2026'!$N$2:$N$376,0)),"")</f>
        <v/>
      </c>
    </row>
    <row r="343" spans="1:13" ht="42" customHeight="1" x14ac:dyDescent="0.35">
      <c r="A343" s="42" t="str">
        <f t="array" ref="A343">IFERROR(INDEX('Agenda 2026'!A$2:A$376,MATCH(ROWS($A$7:$A343),'Agenda 2026'!$N$2:$N$376,0)),"")</f>
        <v/>
      </c>
      <c r="B343" s="43" t="str">
        <f t="array" ref="B343">IFERROR(INDEX('Agenda 2026'!P$2:P$376,MATCH(ROWS($A$7:$A343),'Agenda 2026'!$N$2:$N$376,0)),"")</f>
        <v/>
      </c>
      <c r="C343" s="44" t="str">
        <f t="array" ref="C343">IFERROR(INDEX('Agenda 2026'!B$2:B$376,MATCH(ROWS($A$7:$A343),'Agenda 2026'!$N$2:$N$376,0)),"")</f>
        <v/>
      </c>
      <c r="D343" s="44" t="str">
        <f t="array" ref="D343">IFERROR(INDEX('Agenda 2026'!C$2:C$376,MATCH(ROWS($A$7:$A343),'Agenda 2026'!$N$2:$N$376,0)),"")</f>
        <v/>
      </c>
      <c r="E343" s="44" t="str">
        <f t="array" ref="E343">IFERROR(INDEX('Agenda 2026'!D$2:D$376,MATCH(ROWS($A$7:$A343),'Agenda 2026'!$N$2:$N$376,0)),"")</f>
        <v/>
      </c>
      <c r="F343" s="45" t="str">
        <f t="array" ref="F343">IFERROR(INDEX('Agenda 2026'!E$2:E$376,MATCH(ROWS($A$7:$A343),'Agenda 2026'!$N$2:$N$376,0)),"")</f>
        <v/>
      </c>
      <c r="G343" s="44" t="str">
        <f t="array" ref="G343">IFERROR(INDEX('Agenda 2026'!F$2:F$376,MATCH(ROWS($A$7:$A343),'Agenda 2026'!$N$2:$N$376,0)),"")</f>
        <v/>
      </c>
      <c r="H343" s="44" t="str">
        <f t="array" ref="H343">IFERROR(INDEX('Agenda 2026'!G$2:G$376,MATCH(ROWS($A$7:$A343),'Agenda 2026'!$N$2:$N$376,0)),"")</f>
        <v/>
      </c>
      <c r="I343" s="46" t="str">
        <f t="array" ref="I343">IFERROR(INDEX('Agenda 2026'!H$2:H$376,MATCH(ROWS($A$7:$A343),'Agenda 2026'!$N$2:$N$376,0)),"")</f>
        <v/>
      </c>
      <c r="J343" s="47"/>
      <c r="K343" s="48" t="str">
        <f t="array" ref="K343">IFERROR(HYPERLINK(INDEX('Agenda 2026'!J$2:J$376,MATCH(ROWS($A$7:$A343),'Agenda 2026'!$N$2:$N$376,0)),"Ver fuente ↗"),"")</f>
        <v/>
      </c>
      <c r="L343" s="49" t="str">
        <f t="array" ref="L343">IFERROR(INDEX('Agenda 2026'!K$2:K$376,MATCH(ROWS($A$7:$A343),'Agenda 2026'!$N$2:$N$376,0)),"")</f>
        <v/>
      </c>
      <c r="M343" s="50" t="str">
        <f t="array" ref="M343">IFERROR(INDEX('Agenda 2026'!O$2:O$376,MATCH(ROWS($A$7:$A343),'Agenda 2026'!$N$2:$N$376,0)),"")</f>
        <v/>
      </c>
    </row>
    <row r="344" spans="1:13" ht="42" customHeight="1" x14ac:dyDescent="0.35">
      <c r="A344" s="42" t="str">
        <f t="array" ref="A344">IFERROR(INDEX('Agenda 2026'!A$2:A$376,MATCH(ROWS($A$7:$A344),'Agenda 2026'!$N$2:$N$376,0)),"")</f>
        <v/>
      </c>
      <c r="B344" s="43" t="str">
        <f t="array" ref="B344">IFERROR(INDEX('Agenda 2026'!P$2:P$376,MATCH(ROWS($A$7:$A344),'Agenda 2026'!$N$2:$N$376,0)),"")</f>
        <v/>
      </c>
      <c r="C344" s="44" t="str">
        <f t="array" ref="C344">IFERROR(INDEX('Agenda 2026'!B$2:B$376,MATCH(ROWS($A$7:$A344),'Agenda 2026'!$N$2:$N$376,0)),"")</f>
        <v/>
      </c>
      <c r="D344" s="44" t="str">
        <f t="array" ref="D344">IFERROR(INDEX('Agenda 2026'!C$2:C$376,MATCH(ROWS($A$7:$A344),'Agenda 2026'!$N$2:$N$376,0)),"")</f>
        <v/>
      </c>
      <c r="E344" s="44" t="str">
        <f t="array" ref="E344">IFERROR(INDEX('Agenda 2026'!D$2:D$376,MATCH(ROWS($A$7:$A344),'Agenda 2026'!$N$2:$N$376,0)),"")</f>
        <v/>
      </c>
      <c r="F344" s="45" t="str">
        <f t="array" ref="F344">IFERROR(INDEX('Agenda 2026'!E$2:E$376,MATCH(ROWS($A$7:$A344),'Agenda 2026'!$N$2:$N$376,0)),"")</f>
        <v/>
      </c>
      <c r="G344" s="44" t="str">
        <f t="array" ref="G344">IFERROR(INDEX('Agenda 2026'!F$2:F$376,MATCH(ROWS($A$7:$A344),'Agenda 2026'!$N$2:$N$376,0)),"")</f>
        <v/>
      </c>
      <c r="H344" s="44" t="str">
        <f t="array" ref="H344">IFERROR(INDEX('Agenda 2026'!G$2:G$376,MATCH(ROWS($A$7:$A344),'Agenda 2026'!$N$2:$N$376,0)),"")</f>
        <v/>
      </c>
      <c r="I344" s="46" t="str">
        <f t="array" ref="I344">IFERROR(INDEX('Agenda 2026'!H$2:H$376,MATCH(ROWS($A$7:$A344),'Agenda 2026'!$N$2:$N$376,0)),"")</f>
        <v/>
      </c>
      <c r="J344" s="47"/>
      <c r="K344" s="48" t="str">
        <f t="array" ref="K344">IFERROR(HYPERLINK(INDEX('Agenda 2026'!J$2:J$376,MATCH(ROWS($A$7:$A344),'Agenda 2026'!$N$2:$N$376,0)),"Ver fuente ↗"),"")</f>
        <v/>
      </c>
      <c r="L344" s="49" t="str">
        <f t="array" ref="L344">IFERROR(INDEX('Agenda 2026'!K$2:K$376,MATCH(ROWS($A$7:$A344),'Agenda 2026'!$N$2:$N$376,0)),"")</f>
        <v/>
      </c>
      <c r="M344" s="50" t="str">
        <f t="array" ref="M344">IFERROR(INDEX('Agenda 2026'!O$2:O$376,MATCH(ROWS($A$7:$A344),'Agenda 2026'!$N$2:$N$376,0)),"")</f>
        <v/>
      </c>
    </row>
    <row r="345" spans="1:13" ht="42" customHeight="1" x14ac:dyDescent="0.35">
      <c r="A345" s="42" t="str">
        <f t="array" ref="A345">IFERROR(INDEX('Agenda 2026'!A$2:A$376,MATCH(ROWS($A$7:$A345),'Agenda 2026'!$N$2:$N$376,0)),"")</f>
        <v/>
      </c>
      <c r="B345" s="43" t="str">
        <f t="array" ref="B345">IFERROR(INDEX('Agenda 2026'!P$2:P$376,MATCH(ROWS($A$7:$A345),'Agenda 2026'!$N$2:$N$376,0)),"")</f>
        <v/>
      </c>
      <c r="C345" s="44" t="str">
        <f t="array" ref="C345">IFERROR(INDEX('Agenda 2026'!B$2:B$376,MATCH(ROWS($A$7:$A345),'Agenda 2026'!$N$2:$N$376,0)),"")</f>
        <v/>
      </c>
      <c r="D345" s="44" t="str">
        <f t="array" ref="D345">IFERROR(INDEX('Agenda 2026'!C$2:C$376,MATCH(ROWS($A$7:$A345),'Agenda 2026'!$N$2:$N$376,0)),"")</f>
        <v/>
      </c>
      <c r="E345" s="44" t="str">
        <f t="array" ref="E345">IFERROR(INDEX('Agenda 2026'!D$2:D$376,MATCH(ROWS($A$7:$A345),'Agenda 2026'!$N$2:$N$376,0)),"")</f>
        <v/>
      </c>
      <c r="F345" s="45" t="str">
        <f t="array" ref="F345">IFERROR(INDEX('Agenda 2026'!E$2:E$376,MATCH(ROWS($A$7:$A345),'Agenda 2026'!$N$2:$N$376,0)),"")</f>
        <v/>
      </c>
      <c r="G345" s="44" t="str">
        <f t="array" ref="G345">IFERROR(INDEX('Agenda 2026'!F$2:F$376,MATCH(ROWS($A$7:$A345),'Agenda 2026'!$N$2:$N$376,0)),"")</f>
        <v/>
      </c>
      <c r="H345" s="44" t="str">
        <f t="array" ref="H345">IFERROR(INDEX('Agenda 2026'!G$2:G$376,MATCH(ROWS($A$7:$A345),'Agenda 2026'!$N$2:$N$376,0)),"")</f>
        <v/>
      </c>
      <c r="I345" s="46" t="str">
        <f t="array" ref="I345">IFERROR(INDEX('Agenda 2026'!H$2:H$376,MATCH(ROWS($A$7:$A345),'Agenda 2026'!$N$2:$N$376,0)),"")</f>
        <v/>
      </c>
      <c r="J345" s="47"/>
      <c r="K345" s="48" t="str">
        <f t="array" ref="K345">IFERROR(HYPERLINK(INDEX('Agenda 2026'!J$2:J$376,MATCH(ROWS($A$7:$A345),'Agenda 2026'!$N$2:$N$376,0)),"Ver fuente ↗"),"")</f>
        <v/>
      </c>
      <c r="L345" s="49" t="str">
        <f t="array" ref="L345">IFERROR(INDEX('Agenda 2026'!K$2:K$376,MATCH(ROWS($A$7:$A345),'Agenda 2026'!$N$2:$N$376,0)),"")</f>
        <v/>
      </c>
      <c r="M345" s="50" t="str">
        <f t="array" ref="M345">IFERROR(INDEX('Agenda 2026'!O$2:O$376,MATCH(ROWS($A$7:$A345),'Agenda 2026'!$N$2:$N$376,0)),"")</f>
        <v/>
      </c>
    </row>
    <row r="346" spans="1:13" ht="42" customHeight="1" x14ac:dyDescent="0.35">
      <c r="A346" s="42" t="str">
        <f t="array" ref="A346">IFERROR(INDEX('Agenda 2026'!A$2:A$376,MATCH(ROWS($A$7:$A346),'Agenda 2026'!$N$2:$N$376,0)),"")</f>
        <v/>
      </c>
      <c r="B346" s="43" t="str">
        <f t="array" ref="B346">IFERROR(INDEX('Agenda 2026'!P$2:P$376,MATCH(ROWS($A$7:$A346),'Agenda 2026'!$N$2:$N$376,0)),"")</f>
        <v/>
      </c>
      <c r="C346" s="44" t="str">
        <f t="array" ref="C346">IFERROR(INDEX('Agenda 2026'!B$2:B$376,MATCH(ROWS($A$7:$A346),'Agenda 2026'!$N$2:$N$376,0)),"")</f>
        <v/>
      </c>
      <c r="D346" s="44" t="str">
        <f t="array" ref="D346">IFERROR(INDEX('Agenda 2026'!C$2:C$376,MATCH(ROWS($A$7:$A346),'Agenda 2026'!$N$2:$N$376,0)),"")</f>
        <v/>
      </c>
      <c r="E346" s="44" t="str">
        <f t="array" ref="E346">IFERROR(INDEX('Agenda 2026'!D$2:D$376,MATCH(ROWS($A$7:$A346),'Agenda 2026'!$N$2:$N$376,0)),"")</f>
        <v/>
      </c>
      <c r="F346" s="45" t="str">
        <f t="array" ref="F346">IFERROR(INDEX('Agenda 2026'!E$2:E$376,MATCH(ROWS($A$7:$A346),'Agenda 2026'!$N$2:$N$376,0)),"")</f>
        <v/>
      </c>
      <c r="G346" s="44" t="str">
        <f t="array" ref="G346">IFERROR(INDEX('Agenda 2026'!F$2:F$376,MATCH(ROWS($A$7:$A346),'Agenda 2026'!$N$2:$N$376,0)),"")</f>
        <v/>
      </c>
      <c r="H346" s="44" t="str">
        <f t="array" ref="H346">IFERROR(INDEX('Agenda 2026'!G$2:G$376,MATCH(ROWS($A$7:$A346),'Agenda 2026'!$N$2:$N$376,0)),"")</f>
        <v/>
      </c>
      <c r="I346" s="46" t="str">
        <f t="array" ref="I346">IFERROR(INDEX('Agenda 2026'!H$2:H$376,MATCH(ROWS($A$7:$A346),'Agenda 2026'!$N$2:$N$376,0)),"")</f>
        <v/>
      </c>
      <c r="J346" s="47"/>
      <c r="K346" s="48" t="str">
        <f t="array" ref="K346">IFERROR(HYPERLINK(INDEX('Agenda 2026'!J$2:J$376,MATCH(ROWS($A$7:$A346),'Agenda 2026'!$N$2:$N$376,0)),"Ver fuente ↗"),"")</f>
        <v/>
      </c>
      <c r="L346" s="49" t="str">
        <f t="array" ref="L346">IFERROR(INDEX('Agenda 2026'!K$2:K$376,MATCH(ROWS($A$7:$A346),'Agenda 2026'!$N$2:$N$376,0)),"")</f>
        <v/>
      </c>
      <c r="M346" s="50" t="str">
        <f t="array" ref="M346">IFERROR(INDEX('Agenda 2026'!O$2:O$376,MATCH(ROWS($A$7:$A346),'Agenda 2026'!$N$2:$N$376,0)),"")</f>
        <v/>
      </c>
    </row>
    <row r="347" spans="1:13" ht="42" customHeight="1" x14ac:dyDescent="0.35">
      <c r="A347" s="42" t="str">
        <f t="array" ref="A347">IFERROR(INDEX('Agenda 2026'!A$2:A$376,MATCH(ROWS($A$7:$A347),'Agenda 2026'!$N$2:$N$376,0)),"")</f>
        <v/>
      </c>
      <c r="B347" s="43" t="str">
        <f t="array" ref="B347">IFERROR(INDEX('Agenda 2026'!P$2:P$376,MATCH(ROWS($A$7:$A347),'Agenda 2026'!$N$2:$N$376,0)),"")</f>
        <v/>
      </c>
      <c r="C347" s="44" t="str">
        <f t="array" ref="C347">IFERROR(INDEX('Agenda 2026'!B$2:B$376,MATCH(ROWS($A$7:$A347),'Agenda 2026'!$N$2:$N$376,0)),"")</f>
        <v/>
      </c>
      <c r="D347" s="44" t="str">
        <f t="array" ref="D347">IFERROR(INDEX('Agenda 2026'!C$2:C$376,MATCH(ROWS($A$7:$A347),'Agenda 2026'!$N$2:$N$376,0)),"")</f>
        <v/>
      </c>
      <c r="E347" s="44" t="str">
        <f t="array" ref="E347">IFERROR(INDEX('Agenda 2026'!D$2:D$376,MATCH(ROWS($A$7:$A347),'Agenda 2026'!$N$2:$N$376,0)),"")</f>
        <v/>
      </c>
      <c r="F347" s="45" t="str">
        <f t="array" ref="F347">IFERROR(INDEX('Agenda 2026'!E$2:E$376,MATCH(ROWS($A$7:$A347),'Agenda 2026'!$N$2:$N$376,0)),"")</f>
        <v/>
      </c>
      <c r="G347" s="44" t="str">
        <f t="array" ref="G347">IFERROR(INDEX('Agenda 2026'!F$2:F$376,MATCH(ROWS($A$7:$A347),'Agenda 2026'!$N$2:$N$376,0)),"")</f>
        <v/>
      </c>
      <c r="H347" s="44" t="str">
        <f t="array" ref="H347">IFERROR(INDEX('Agenda 2026'!G$2:G$376,MATCH(ROWS($A$7:$A347),'Agenda 2026'!$N$2:$N$376,0)),"")</f>
        <v/>
      </c>
      <c r="I347" s="46" t="str">
        <f t="array" ref="I347">IFERROR(INDEX('Agenda 2026'!H$2:H$376,MATCH(ROWS($A$7:$A347),'Agenda 2026'!$N$2:$N$376,0)),"")</f>
        <v/>
      </c>
      <c r="J347" s="47"/>
      <c r="K347" s="48" t="str">
        <f t="array" ref="K347">IFERROR(HYPERLINK(INDEX('Agenda 2026'!J$2:J$376,MATCH(ROWS($A$7:$A347),'Agenda 2026'!$N$2:$N$376,0)),"Ver fuente ↗"),"")</f>
        <v/>
      </c>
      <c r="L347" s="49" t="str">
        <f t="array" ref="L347">IFERROR(INDEX('Agenda 2026'!K$2:K$376,MATCH(ROWS($A$7:$A347),'Agenda 2026'!$N$2:$N$376,0)),"")</f>
        <v/>
      </c>
      <c r="M347" s="50" t="str">
        <f t="array" ref="M347">IFERROR(INDEX('Agenda 2026'!O$2:O$376,MATCH(ROWS($A$7:$A347),'Agenda 2026'!$N$2:$N$376,0)),"")</f>
        <v/>
      </c>
    </row>
    <row r="348" spans="1:13" ht="42" customHeight="1" x14ac:dyDescent="0.35">
      <c r="A348" s="42" t="str">
        <f t="array" ref="A348">IFERROR(INDEX('Agenda 2026'!A$2:A$376,MATCH(ROWS($A$7:$A348),'Agenda 2026'!$N$2:$N$376,0)),"")</f>
        <v/>
      </c>
      <c r="B348" s="43" t="str">
        <f t="array" ref="B348">IFERROR(INDEX('Agenda 2026'!P$2:P$376,MATCH(ROWS($A$7:$A348),'Agenda 2026'!$N$2:$N$376,0)),"")</f>
        <v/>
      </c>
      <c r="C348" s="44" t="str">
        <f t="array" ref="C348">IFERROR(INDEX('Agenda 2026'!B$2:B$376,MATCH(ROWS($A$7:$A348),'Agenda 2026'!$N$2:$N$376,0)),"")</f>
        <v/>
      </c>
      <c r="D348" s="44" t="str">
        <f t="array" ref="D348">IFERROR(INDEX('Agenda 2026'!C$2:C$376,MATCH(ROWS($A$7:$A348),'Agenda 2026'!$N$2:$N$376,0)),"")</f>
        <v/>
      </c>
      <c r="E348" s="44" t="str">
        <f t="array" ref="E348">IFERROR(INDEX('Agenda 2026'!D$2:D$376,MATCH(ROWS($A$7:$A348),'Agenda 2026'!$N$2:$N$376,0)),"")</f>
        <v/>
      </c>
      <c r="F348" s="45" t="str">
        <f t="array" ref="F348">IFERROR(INDEX('Agenda 2026'!E$2:E$376,MATCH(ROWS($A$7:$A348),'Agenda 2026'!$N$2:$N$376,0)),"")</f>
        <v/>
      </c>
      <c r="G348" s="44" t="str">
        <f t="array" ref="G348">IFERROR(INDEX('Agenda 2026'!F$2:F$376,MATCH(ROWS($A$7:$A348),'Agenda 2026'!$N$2:$N$376,0)),"")</f>
        <v/>
      </c>
      <c r="H348" s="44" t="str">
        <f t="array" ref="H348">IFERROR(INDEX('Agenda 2026'!G$2:G$376,MATCH(ROWS($A$7:$A348),'Agenda 2026'!$N$2:$N$376,0)),"")</f>
        <v/>
      </c>
      <c r="I348" s="46" t="str">
        <f t="array" ref="I348">IFERROR(INDEX('Agenda 2026'!H$2:H$376,MATCH(ROWS($A$7:$A348),'Agenda 2026'!$N$2:$N$376,0)),"")</f>
        <v/>
      </c>
      <c r="J348" s="47"/>
      <c r="K348" s="48" t="str">
        <f t="array" ref="K348">IFERROR(HYPERLINK(INDEX('Agenda 2026'!J$2:J$376,MATCH(ROWS($A$7:$A348),'Agenda 2026'!$N$2:$N$376,0)),"Ver fuente ↗"),"")</f>
        <v/>
      </c>
      <c r="L348" s="49" t="str">
        <f t="array" ref="L348">IFERROR(INDEX('Agenda 2026'!K$2:K$376,MATCH(ROWS($A$7:$A348),'Agenda 2026'!$N$2:$N$376,0)),"")</f>
        <v/>
      </c>
      <c r="M348" s="50" t="str">
        <f t="array" ref="M348">IFERROR(INDEX('Agenda 2026'!O$2:O$376,MATCH(ROWS($A$7:$A348),'Agenda 2026'!$N$2:$N$376,0)),"")</f>
        <v/>
      </c>
    </row>
    <row r="349" spans="1:13" ht="42" customHeight="1" x14ac:dyDescent="0.35">
      <c r="A349" s="42" t="str">
        <f t="array" ref="A349">IFERROR(INDEX('Agenda 2026'!A$2:A$376,MATCH(ROWS($A$7:$A349),'Agenda 2026'!$N$2:$N$376,0)),"")</f>
        <v/>
      </c>
      <c r="B349" s="43" t="str">
        <f t="array" ref="B349">IFERROR(INDEX('Agenda 2026'!P$2:P$376,MATCH(ROWS($A$7:$A349),'Agenda 2026'!$N$2:$N$376,0)),"")</f>
        <v/>
      </c>
      <c r="C349" s="44" t="str">
        <f t="array" ref="C349">IFERROR(INDEX('Agenda 2026'!B$2:B$376,MATCH(ROWS($A$7:$A349),'Agenda 2026'!$N$2:$N$376,0)),"")</f>
        <v/>
      </c>
      <c r="D349" s="44" t="str">
        <f t="array" ref="D349">IFERROR(INDEX('Agenda 2026'!C$2:C$376,MATCH(ROWS($A$7:$A349),'Agenda 2026'!$N$2:$N$376,0)),"")</f>
        <v/>
      </c>
      <c r="E349" s="44" t="str">
        <f t="array" ref="E349">IFERROR(INDEX('Agenda 2026'!D$2:D$376,MATCH(ROWS($A$7:$A349),'Agenda 2026'!$N$2:$N$376,0)),"")</f>
        <v/>
      </c>
      <c r="F349" s="45" t="str">
        <f t="array" ref="F349">IFERROR(INDEX('Agenda 2026'!E$2:E$376,MATCH(ROWS($A$7:$A349),'Agenda 2026'!$N$2:$N$376,0)),"")</f>
        <v/>
      </c>
      <c r="G349" s="44" t="str">
        <f t="array" ref="G349">IFERROR(INDEX('Agenda 2026'!F$2:F$376,MATCH(ROWS($A$7:$A349),'Agenda 2026'!$N$2:$N$376,0)),"")</f>
        <v/>
      </c>
      <c r="H349" s="44" t="str">
        <f t="array" ref="H349">IFERROR(INDEX('Agenda 2026'!G$2:G$376,MATCH(ROWS($A$7:$A349),'Agenda 2026'!$N$2:$N$376,0)),"")</f>
        <v/>
      </c>
      <c r="I349" s="46" t="str">
        <f t="array" ref="I349">IFERROR(INDEX('Agenda 2026'!H$2:H$376,MATCH(ROWS($A$7:$A349),'Agenda 2026'!$N$2:$N$376,0)),"")</f>
        <v/>
      </c>
      <c r="J349" s="47"/>
      <c r="K349" s="48" t="str">
        <f t="array" ref="K349">IFERROR(HYPERLINK(INDEX('Agenda 2026'!J$2:J$376,MATCH(ROWS($A$7:$A349),'Agenda 2026'!$N$2:$N$376,0)),"Ver fuente ↗"),"")</f>
        <v/>
      </c>
      <c r="L349" s="49" t="str">
        <f t="array" ref="L349">IFERROR(INDEX('Agenda 2026'!K$2:K$376,MATCH(ROWS($A$7:$A349),'Agenda 2026'!$N$2:$N$376,0)),"")</f>
        <v/>
      </c>
      <c r="M349" s="50" t="str">
        <f t="array" ref="M349">IFERROR(INDEX('Agenda 2026'!O$2:O$376,MATCH(ROWS($A$7:$A349),'Agenda 2026'!$N$2:$N$376,0)),"")</f>
        <v/>
      </c>
    </row>
    <row r="350" spans="1:13" ht="42" customHeight="1" x14ac:dyDescent="0.35">
      <c r="A350" s="42" t="str">
        <f t="array" ref="A350">IFERROR(INDEX('Agenda 2026'!A$2:A$376,MATCH(ROWS($A$7:$A350),'Agenda 2026'!$N$2:$N$376,0)),"")</f>
        <v/>
      </c>
      <c r="B350" s="43" t="str">
        <f t="array" ref="B350">IFERROR(INDEX('Agenda 2026'!P$2:P$376,MATCH(ROWS($A$7:$A350),'Agenda 2026'!$N$2:$N$376,0)),"")</f>
        <v/>
      </c>
      <c r="C350" s="44" t="str">
        <f t="array" ref="C350">IFERROR(INDEX('Agenda 2026'!B$2:B$376,MATCH(ROWS($A$7:$A350),'Agenda 2026'!$N$2:$N$376,0)),"")</f>
        <v/>
      </c>
      <c r="D350" s="44" t="str">
        <f t="array" ref="D350">IFERROR(INDEX('Agenda 2026'!C$2:C$376,MATCH(ROWS($A$7:$A350),'Agenda 2026'!$N$2:$N$376,0)),"")</f>
        <v/>
      </c>
      <c r="E350" s="44" t="str">
        <f t="array" ref="E350">IFERROR(INDEX('Agenda 2026'!D$2:D$376,MATCH(ROWS($A$7:$A350),'Agenda 2026'!$N$2:$N$376,0)),"")</f>
        <v/>
      </c>
      <c r="F350" s="45" t="str">
        <f t="array" ref="F350">IFERROR(INDEX('Agenda 2026'!E$2:E$376,MATCH(ROWS($A$7:$A350),'Agenda 2026'!$N$2:$N$376,0)),"")</f>
        <v/>
      </c>
      <c r="G350" s="44" t="str">
        <f t="array" ref="G350">IFERROR(INDEX('Agenda 2026'!F$2:F$376,MATCH(ROWS($A$7:$A350),'Agenda 2026'!$N$2:$N$376,0)),"")</f>
        <v/>
      </c>
      <c r="H350" s="44" t="str">
        <f t="array" ref="H350">IFERROR(INDEX('Agenda 2026'!G$2:G$376,MATCH(ROWS($A$7:$A350),'Agenda 2026'!$N$2:$N$376,0)),"")</f>
        <v/>
      </c>
      <c r="I350" s="46" t="str">
        <f t="array" ref="I350">IFERROR(INDEX('Agenda 2026'!H$2:H$376,MATCH(ROWS($A$7:$A350),'Agenda 2026'!$N$2:$N$376,0)),"")</f>
        <v/>
      </c>
      <c r="J350" s="47"/>
      <c r="K350" s="48" t="str">
        <f t="array" ref="K350">IFERROR(HYPERLINK(INDEX('Agenda 2026'!J$2:J$376,MATCH(ROWS($A$7:$A350),'Agenda 2026'!$N$2:$N$376,0)),"Ver fuente ↗"),"")</f>
        <v/>
      </c>
      <c r="L350" s="49" t="str">
        <f t="array" ref="L350">IFERROR(INDEX('Agenda 2026'!K$2:K$376,MATCH(ROWS($A$7:$A350),'Agenda 2026'!$N$2:$N$376,0)),"")</f>
        <v/>
      </c>
      <c r="M350" s="50" t="str">
        <f t="array" ref="M350">IFERROR(INDEX('Agenda 2026'!O$2:O$376,MATCH(ROWS($A$7:$A350),'Agenda 2026'!$N$2:$N$376,0)),"")</f>
        <v/>
      </c>
    </row>
    <row r="351" spans="1:13" ht="42" customHeight="1" x14ac:dyDescent="0.35">
      <c r="A351" s="42" t="str">
        <f t="array" ref="A351">IFERROR(INDEX('Agenda 2026'!A$2:A$376,MATCH(ROWS($A$7:$A351),'Agenda 2026'!$N$2:$N$376,0)),"")</f>
        <v/>
      </c>
      <c r="B351" s="43" t="str">
        <f t="array" ref="B351">IFERROR(INDEX('Agenda 2026'!P$2:P$376,MATCH(ROWS($A$7:$A351),'Agenda 2026'!$N$2:$N$376,0)),"")</f>
        <v/>
      </c>
      <c r="C351" s="44" t="str">
        <f t="array" ref="C351">IFERROR(INDEX('Agenda 2026'!B$2:B$376,MATCH(ROWS($A$7:$A351),'Agenda 2026'!$N$2:$N$376,0)),"")</f>
        <v/>
      </c>
      <c r="D351" s="44" t="str">
        <f t="array" ref="D351">IFERROR(INDEX('Agenda 2026'!C$2:C$376,MATCH(ROWS($A$7:$A351),'Agenda 2026'!$N$2:$N$376,0)),"")</f>
        <v/>
      </c>
      <c r="E351" s="44" t="str">
        <f t="array" ref="E351">IFERROR(INDEX('Agenda 2026'!D$2:D$376,MATCH(ROWS($A$7:$A351),'Agenda 2026'!$N$2:$N$376,0)),"")</f>
        <v/>
      </c>
      <c r="F351" s="45" t="str">
        <f t="array" ref="F351">IFERROR(INDEX('Agenda 2026'!E$2:E$376,MATCH(ROWS($A$7:$A351),'Agenda 2026'!$N$2:$N$376,0)),"")</f>
        <v/>
      </c>
      <c r="G351" s="44" t="str">
        <f t="array" ref="G351">IFERROR(INDEX('Agenda 2026'!F$2:F$376,MATCH(ROWS($A$7:$A351),'Agenda 2026'!$N$2:$N$376,0)),"")</f>
        <v/>
      </c>
      <c r="H351" s="44" t="str">
        <f t="array" ref="H351">IFERROR(INDEX('Agenda 2026'!G$2:G$376,MATCH(ROWS($A$7:$A351),'Agenda 2026'!$N$2:$N$376,0)),"")</f>
        <v/>
      </c>
      <c r="I351" s="46" t="str">
        <f t="array" ref="I351">IFERROR(INDEX('Agenda 2026'!H$2:H$376,MATCH(ROWS($A$7:$A351),'Agenda 2026'!$N$2:$N$376,0)),"")</f>
        <v/>
      </c>
      <c r="J351" s="47"/>
      <c r="K351" s="48" t="str">
        <f t="array" ref="K351">IFERROR(HYPERLINK(INDEX('Agenda 2026'!J$2:J$376,MATCH(ROWS($A$7:$A351),'Agenda 2026'!$N$2:$N$376,0)),"Ver fuente ↗"),"")</f>
        <v/>
      </c>
      <c r="L351" s="49" t="str">
        <f t="array" ref="L351">IFERROR(INDEX('Agenda 2026'!K$2:K$376,MATCH(ROWS($A$7:$A351),'Agenda 2026'!$N$2:$N$376,0)),"")</f>
        <v/>
      </c>
      <c r="M351" s="50" t="str">
        <f t="array" ref="M351">IFERROR(INDEX('Agenda 2026'!O$2:O$376,MATCH(ROWS($A$7:$A351),'Agenda 2026'!$N$2:$N$376,0)),"")</f>
        <v/>
      </c>
    </row>
    <row r="352" spans="1:13" ht="42" customHeight="1" x14ac:dyDescent="0.35">
      <c r="A352" s="42" t="str">
        <f t="array" ref="A352">IFERROR(INDEX('Agenda 2026'!A$2:A$376,MATCH(ROWS($A$7:$A352),'Agenda 2026'!$N$2:$N$376,0)),"")</f>
        <v/>
      </c>
      <c r="B352" s="43" t="str">
        <f t="array" ref="B352">IFERROR(INDEX('Agenda 2026'!P$2:P$376,MATCH(ROWS($A$7:$A352),'Agenda 2026'!$N$2:$N$376,0)),"")</f>
        <v/>
      </c>
      <c r="C352" s="44" t="str">
        <f t="array" ref="C352">IFERROR(INDEX('Agenda 2026'!B$2:B$376,MATCH(ROWS($A$7:$A352),'Agenda 2026'!$N$2:$N$376,0)),"")</f>
        <v/>
      </c>
      <c r="D352" s="44" t="str">
        <f t="array" ref="D352">IFERROR(INDEX('Agenda 2026'!C$2:C$376,MATCH(ROWS($A$7:$A352),'Agenda 2026'!$N$2:$N$376,0)),"")</f>
        <v/>
      </c>
      <c r="E352" s="44" t="str">
        <f t="array" ref="E352">IFERROR(INDEX('Agenda 2026'!D$2:D$376,MATCH(ROWS($A$7:$A352),'Agenda 2026'!$N$2:$N$376,0)),"")</f>
        <v/>
      </c>
      <c r="F352" s="45" t="str">
        <f t="array" ref="F352">IFERROR(INDEX('Agenda 2026'!E$2:E$376,MATCH(ROWS($A$7:$A352),'Agenda 2026'!$N$2:$N$376,0)),"")</f>
        <v/>
      </c>
      <c r="G352" s="44" t="str">
        <f t="array" ref="G352">IFERROR(INDEX('Agenda 2026'!F$2:F$376,MATCH(ROWS($A$7:$A352),'Agenda 2026'!$N$2:$N$376,0)),"")</f>
        <v/>
      </c>
      <c r="H352" s="44" t="str">
        <f t="array" ref="H352">IFERROR(INDEX('Agenda 2026'!G$2:G$376,MATCH(ROWS($A$7:$A352),'Agenda 2026'!$N$2:$N$376,0)),"")</f>
        <v/>
      </c>
      <c r="I352" s="46" t="str">
        <f t="array" ref="I352">IFERROR(INDEX('Agenda 2026'!H$2:H$376,MATCH(ROWS($A$7:$A352),'Agenda 2026'!$N$2:$N$376,0)),"")</f>
        <v/>
      </c>
      <c r="J352" s="47"/>
      <c r="K352" s="48" t="str">
        <f t="array" ref="K352">IFERROR(HYPERLINK(INDEX('Agenda 2026'!J$2:J$376,MATCH(ROWS($A$7:$A352),'Agenda 2026'!$N$2:$N$376,0)),"Ver fuente ↗"),"")</f>
        <v/>
      </c>
      <c r="L352" s="49" t="str">
        <f t="array" ref="L352">IFERROR(INDEX('Agenda 2026'!K$2:K$376,MATCH(ROWS($A$7:$A352),'Agenda 2026'!$N$2:$N$376,0)),"")</f>
        <v/>
      </c>
      <c r="M352" s="50" t="str">
        <f t="array" ref="M352">IFERROR(INDEX('Agenda 2026'!O$2:O$376,MATCH(ROWS($A$7:$A352),'Agenda 2026'!$N$2:$N$376,0)),"")</f>
        <v/>
      </c>
    </row>
    <row r="353" spans="1:13" ht="42" customHeight="1" x14ac:dyDescent="0.35">
      <c r="A353" s="42" t="str">
        <f t="array" ref="A353">IFERROR(INDEX('Agenda 2026'!A$2:A$376,MATCH(ROWS($A$7:$A353),'Agenda 2026'!$N$2:$N$376,0)),"")</f>
        <v/>
      </c>
      <c r="B353" s="43" t="str">
        <f t="array" ref="B353">IFERROR(INDEX('Agenda 2026'!P$2:P$376,MATCH(ROWS($A$7:$A353),'Agenda 2026'!$N$2:$N$376,0)),"")</f>
        <v/>
      </c>
      <c r="C353" s="44" t="str">
        <f t="array" ref="C353">IFERROR(INDEX('Agenda 2026'!B$2:B$376,MATCH(ROWS($A$7:$A353),'Agenda 2026'!$N$2:$N$376,0)),"")</f>
        <v/>
      </c>
      <c r="D353" s="44" t="str">
        <f t="array" ref="D353">IFERROR(INDEX('Agenda 2026'!C$2:C$376,MATCH(ROWS($A$7:$A353),'Agenda 2026'!$N$2:$N$376,0)),"")</f>
        <v/>
      </c>
      <c r="E353" s="44" t="str">
        <f t="array" ref="E353">IFERROR(INDEX('Agenda 2026'!D$2:D$376,MATCH(ROWS($A$7:$A353),'Agenda 2026'!$N$2:$N$376,0)),"")</f>
        <v/>
      </c>
      <c r="F353" s="45" t="str">
        <f t="array" ref="F353">IFERROR(INDEX('Agenda 2026'!E$2:E$376,MATCH(ROWS($A$7:$A353),'Agenda 2026'!$N$2:$N$376,0)),"")</f>
        <v/>
      </c>
      <c r="G353" s="44" t="str">
        <f t="array" ref="G353">IFERROR(INDEX('Agenda 2026'!F$2:F$376,MATCH(ROWS($A$7:$A353),'Agenda 2026'!$N$2:$N$376,0)),"")</f>
        <v/>
      </c>
      <c r="H353" s="44" t="str">
        <f t="array" ref="H353">IFERROR(INDEX('Agenda 2026'!G$2:G$376,MATCH(ROWS($A$7:$A353),'Agenda 2026'!$N$2:$N$376,0)),"")</f>
        <v/>
      </c>
      <c r="I353" s="46" t="str">
        <f t="array" ref="I353">IFERROR(INDEX('Agenda 2026'!H$2:H$376,MATCH(ROWS($A$7:$A353),'Agenda 2026'!$N$2:$N$376,0)),"")</f>
        <v/>
      </c>
      <c r="J353" s="47"/>
      <c r="K353" s="48" t="str">
        <f t="array" ref="K353">IFERROR(HYPERLINK(INDEX('Agenda 2026'!J$2:J$376,MATCH(ROWS($A$7:$A353),'Agenda 2026'!$N$2:$N$376,0)),"Ver fuente ↗"),"")</f>
        <v/>
      </c>
      <c r="L353" s="49" t="str">
        <f t="array" ref="L353">IFERROR(INDEX('Agenda 2026'!K$2:K$376,MATCH(ROWS($A$7:$A353),'Agenda 2026'!$N$2:$N$376,0)),"")</f>
        <v/>
      </c>
      <c r="M353" s="50" t="str">
        <f t="array" ref="M353">IFERROR(INDEX('Agenda 2026'!O$2:O$376,MATCH(ROWS($A$7:$A353),'Agenda 2026'!$N$2:$N$376,0)),"")</f>
        <v/>
      </c>
    </row>
    <row r="354" spans="1:13" ht="42" customHeight="1" x14ac:dyDescent="0.35">
      <c r="A354" s="42" t="str">
        <f t="array" ref="A354">IFERROR(INDEX('Agenda 2026'!A$2:A$376,MATCH(ROWS($A$7:$A354),'Agenda 2026'!$N$2:$N$376,0)),"")</f>
        <v/>
      </c>
      <c r="B354" s="43" t="str">
        <f t="array" ref="B354">IFERROR(INDEX('Agenda 2026'!P$2:P$376,MATCH(ROWS($A$7:$A354),'Agenda 2026'!$N$2:$N$376,0)),"")</f>
        <v/>
      </c>
      <c r="C354" s="44" t="str">
        <f t="array" ref="C354">IFERROR(INDEX('Agenda 2026'!B$2:B$376,MATCH(ROWS($A$7:$A354),'Agenda 2026'!$N$2:$N$376,0)),"")</f>
        <v/>
      </c>
      <c r="D354" s="44" t="str">
        <f t="array" ref="D354">IFERROR(INDEX('Agenda 2026'!C$2:C$376,MATCH(ROWS($A$7:$A354),'Agenda 2026'!$N$2:$N$376,0)),"")</f>
        <v/>
      </c>
      <c r="E354" s="44" t="str">
        <f t="array" ref="E354">IFERROR(INDEX('Agenda 2026'!D$2:D$376,MATCH(ROWS($A$7:$A354),'Agenda 2026'!$N$2:$N$376,0)),"")</f>
        <v/>
      </c>
      <c r="F354" s="45" t="str">
        <f t="array" ref="F354">IFERROR(INDEX('Agenda 2026'!E$2:E$376,MATCH(ROWS($A$7:$A354),'Agenda 2026'!$N$2:$N$376,0)),"")</f>
        <v/>
      </c>
      <c r="G354" s="44" t="str">
        <f t="array" ref="G354">IFERROR(INDEX('Agenda 2026'!F$2:F$376,MATCH(ROWS($A$7:$A354),'Agenda 2026'!$N$2:$N$376,0)),"")</f>
        <v/>
      </c>
      <c r="H354" s="44" t="str">
        <f t="array" ref="H354">IFERROR(INDEX('Agenda 2026'!G$2:G$376,MATCH(ROWS($A$7:$A354),'Agenda 2026'!$N$2:$N$376,0)),"")</f>
        <v/>
      </c>
      <c r="I354" s="46" t="str">
        <f t="array" ref="I354">IFERROR(INDEX('Agenda 2026'!H$2:H$376,MATCH(ROWS($A$7:$A354),'Agenda 2026'!$N$2:$N$376,0)),"")</f>
        <v/>
      </c>
      <c r="J354" s="47"/>
      <c r="K354" s="48" t="str">
        <f t="array" ref="K354">IFERROR(HYPERLINK(INDEX('Agenda 2026'!J$2:J$376,MATCH(ROWS($A$7:$A354),'Agenda 2026'!$N$2:$N$376,0)),"Ver fuente ↗"),"")</f>
        <v/>
      </c>
      <c r="L354" s="49" t="str">
        <f t="array" ref="L354">IFERROR(INDEX('Agenda 2026'!K$2:K$376,MATCH(ROWS($A$7:$A354),'Agenda 2026'!$N$2:$N$376,0)),"")</f>
        <v/>
      </c>
      <c r="M354" s="50" t="str">
        <f t="array" ref="M354">IFERROR(INDEX('Agenda 2026'!O$2:O$376,MATCH(ROWS($A$7:$A354),'Agenda 2026'!$N$2:$N$376,0)),"")</f>
        <v/>
      </c>
    </row>
    <row r="355" spans="1:13" ht="42" customHeight="1" x14ac:dyDescent="0.35">
      <c r="A355" s="42" t="str">
        <f t="array" ref="A355">IFERROR(INDEX('Agenda 2026'!A$2:A$376,MATCH(ROWS($A$7:$A355),'Agenda 2026'!$N$2:$N$376,0)),"")</f>
        <v/>
      </c>
      <c r="B355" s="43" t="str">
        <f t="array" ref="B355">IFERROR(INDEX('Agenda 2026'!P$2:P$376,MATCH(ROWS($A$7:$A355),'Agenda 2026'!$N$2:$N$376,0)),"")</f>
        <v/>
      </c>
      <c r="C355" s="44" t="str">
        <f t="array" ref="C355">IFERROR(INDEX('Agenda 2026'!B$2:B$376,MATCH(ROWS($A$7:$A355),'Agenda 2026'!$N$2:$N$376,0)),"")</f>
        <v/>
      </c>
      <c r="D355" s="44" t="str">
        <f t="array" ref="D355">IFERROR(INDEX('Agenda 2026'!C$2:C$376,MATCH(ROWS($A$7:$A355),'Agenda 2026'!$N$2:$N$376,0)),"")</f>
        <v/>
      </c>
      <c r="E355" s="44" t="str">
        <f t="array" ref="E355">IFERROR(INDEX('Agenda 2026'!D$2:D$376,MATCH(ROWS($A$7:$A355),'Agenda 2026'!$N$2:$N$376,0)),"")</f>
        <v/>
      </c>
      <c r="F355" s="45" t="str">
        <f t="array" ref="F355">IFERROR(INDEX('Agenda 2026'!E$2:E$376,MATCH(ROWS($A$7:$A355),'Agenda 2026'!$N$2:$N$376,0)),"")</f>
        <v/>
      </c>
      <c r="G355" s="44" t="str">
        <f t="array" ref="G355">IFERROR(INDEX('Agenda 2026'!F$2:F$376,MATCH(ROWS($A$7:$A355),'Agenda 2026'!$N$2:$N$376,0)),"")</f>
        <v/>
      </c>
      <c r="H355" s="44" t="str">
        <f t="array" ref="H355">IFERROR(INDEX('Agenda 2026'!G$2:G$376,MATCH(ROWS($A$7:$A355),'Agenda 2026'!$N$2:$N$376,0)),"")</f>
        <v/>
      </c>
      <c r="I355" s="46" t="str">
        <f t="array" ref="I355">IFERROR(INDEX('Agenda 2026'!H$2:H$376,MATCH(ROWS($A$7:$A355),'Agenda 2026'!$N$2:$N$376,0)),"")</f>
        <v/>
      </c>
      <c r="J355" s="47"/>
      <c r="K355" s="48" t="str">
        <f t="array" ref="K355">IFERROR(HYPERLINK(INDEX('Agenda 2026'!J$2:J$376,MATCH(ROWS($A$7:$A355),'Agenda 2026'!$N$2:$N$376,0)),"Ver fuente ↗"),"")</f>
        <v/>
      </c>
      <c r="L355" s="49" t="str">
        <f t="array" ref="L355">IFERROR(INDEX('Agenda 2026'!K$2:K$376,MATCH(ROWS($A$7:$A355),'Agenda 2026'!$N$2:$N$376,0)),"")</f>
        <v/>
      </c>
      <c r="M355" s="50" t="str">
        <f t="array" ref="M355">IFERROR(INDEX('Agenda 2026'!O$2:O$376,MATCH(ROWS($A$7:$A355),'Agenda 2026'!$N$2:$N$376,0)),"")</f>
        <v/>
      </c>
    </row>
    <row r="356" spans="1:13" ht="42" customHeight="1" x14ac:dyDescent="0.35">
      <c r="A356" s="42" t="str">
        <f t="array" ref="A356">IFERROR(INDEX('Agenda 2026'!A$2:A$376,MATCH(ROWS($A$7:$A356),'Agenda 2026'!$N$2:$N$376,0)),"")</f>
        <v/>
      </c>
      <c r="B356" s="43" t="str">
        <f t="array" ref="B356">IFERROR(INDEX('Agenda 2026'!P$2:P$376,MATCH(ROWS($A$7:$A356),'Agenda 2026'!$N$2:$N$376,0)),"")</f>
        <v/>
      </c>
      <c r="C356" s="44" t="str">
        <f t="array" ref="C356">IFERROR(INDEX('Agenda 2026'!B$2:B$376,MATCH(ROWS($A$7:$A356),'Agenda 2026'!$N$2:$N$376,0)),"")</f>
        <v/>
      </c>
      <c r="D356" s="44" t="str">
        <f t="array" ref="D356">IFERROR(INDEX('Agenda 2026'!C$2:C$376,MATCH(ROWS($A$7:$A356),'Agenda 2026'!$N$2:$N$376,0)),"")</f>
        <v/>
      </c>
      <c r="E356" s="44" t="str">
        <f t="array" ref="E356">IFERROR(INDEX('Agenda 2026'!D$2:D$376,MATCH(ROWS($A$7:$A356),'Agenda 2026'!$N$2:$N$376,0)),"")</f>
        <v/>
      </c>
      <c r="F356" s="45" t="str">
        <f t="array" ref="F356">IFERROR(INDEX('Agenda 2026'!E$2:E$376,MATCH(ROWS($A$7:$A356),'Agenda 2026'!$N$2:$N$376,0)),"")</f>
        <v/>
      </c>
      <c r="G356" s="44" t="str">
        <f t="array" ref="G356">IFERROR(INDEX('Agenda 2026'!F$2:F$376,MATCH(ROWS($A$7:$A356),'Agenda 2026'!$N$2:$N$376,0)),"")</f>
        <v/>
      </c>
      <c r="H356" s="44" t="str">
        <f t="array" ref="H356">IFERROR(INDEX('Agenda 2026'!G$2:G$376,MATCH(ROWS($A$7:$A356),'Agenda 2026'!$N$2:$N$376,0)),"")</f>
        <v/>
      </c>
      <c r="I356" s="46" t="str">
        <f t="array" ref="I356">IFERROR(INDEX('Agenda 2026'!H$2:H$376,MATCH(ROWS($A$7:$A356),'Agenda 2026'!$N$2:$N$376,0)),"")</f>
        <v/>
      </c>
      <c r="J356" s="47"/>
      <c r="K356" s="48" t="str">
        <f t="array" ref="K356">IFERROR(HYPERLINK(INDEX('Agenda 2026'!J$2:J$376,MATCH(ROWS($A$7:$A356),'Agenda 2026'!$N$2:$N$376,0)),"Ver fuente ↗"),"")</f>
        <v/>
      </c>
      <c r="L356" s="49" t="str">
        <f t="array" ref="L356">IFERROR(INDEX('Agenda 2026'!K$2:K$376,MATCH(ROWS($A$7:$A356),'Agenda 2026'!$N$2:$N$376,0)),"")</f>
        <v/>
      </c>
      <c r="M356" s="50" t="str">
        <f t="array" ref="M356">IFERROR(INDEX('Agenda 2026'!O$2:O$376,MATCH(ROWS($A$7:$A356),'Agenda 2026'!$N$2:$N$376,0)),"")</f>
        <v/>
      </c>
    </row>
    <row r="357" spans="1:13" ht="42" customHeight="1" x14ac:dyDescent="0.35">
      <c r="A357" s="42" t="str">
        <f t="array" ref="A357">IFERROR(INDEX('Agenda 2026'!A$2:A$376,MATCH(ROWS($A$7:$A357),'Agenda 2026'!$N$2:$N$376,0)),"")</f>
        <v/>
      </c>
      <c r="B357" s="43" t="str">
        <f t="array" ref="B357">IFERROR(INDEX('Agenda 2026'!P$2:P$376,MATCH(ROWS($A$7:$A357),'Agenda 2026'!$N$2:$N$376,0)),"")</f>
        <v/>
      </c>
      <c r="C357" s="44" t="str">
        <f t="array" ref="C357">IFERROR(INDEX('Agenda 2026'!B$2:B$376,MATCH(ROWS($A$7:$A357),'Agenda 2026'!$N$2:$N$376,0)),"")</f>
        <v/>
      </c>
      <c r="D357" s="44" t="str">
        <f t="array" ref="D357">IFERROR(INDEX('Agenda 2026'!C$2:C$376,MATCH(ROWS($A$7:$A357),'Agenda 2026'!$N$2:$N$376,0)),"")</f>
        <v/>
      </c>
      <c r="E357" s="44" t="str">
        <f t="array" ref="E357">IFERROR(INDEX('Agenda 2026'!D$2:D$376,MATCH(ROWS($A$7:$A357),'Agenda 2026'!$N$2:$N$376,0)),"")</f>
        <v/>
      </c>
      <c r="F357" s="45" t="str">
        <f t="array" ref="F357">IFERROR(INDEX('Agenda 2026'!E$2:E$376,MATCH(ROWS($A$7:$A357),'Agenda 2026'!$N$2:$N$376,0)),"")</f>
        <v/>
      </c>
      <c r="G357" s="44" t="str">
        <f t="array" ref="G357">IFERROR(INDEX('Agenda 2026'!F$2:F$376,MATCH(ROWS($A$7:$A357),'Agenda 2026'!$N$2:$N$376,0)),"")</f>
        <v/>
      </c>
      <c r="H357" s="44" t="str">
        <f t="array" ref="H357">IFERROR(INDEX('Agenda 2026'!G$2:G$376,MATCH(ROWS($A$7:$A357),'Agenda 2026'!$N$2:$N$376,0)),"")</f>
        <v/>
      </c>
      <c r="I357" s="46" t="str">
        <f t="array" ref="I357">IFERROR(INDEX('Agenda 2026'!H$2:H$376,MATCH(ROWS($A$7:$A357),'Agenda 2026'!$N$2:$N$376,0)),"")</f>
        <v/>
      </c>
      <c r="J357" s="47"/>
      <c r="K357" s="48" t="str">
        <f t="array" ref="K357">IFERROR(HYPERLINK(INDEX('Agenda 2026'!J$2:J$376,MATCH(ROWS($A$7:$A357),'Agenda 2026'!$N$2:$N$376,0)),"Ver fuente ↗"),"")</f>
        <v/>
      </c>
      <c r="L357" s="49" t="str">
        <f t="array" ref="L357">IFERROR(INDEX('Agenda 2026'!K$2:K$376,MATCH(ROWS($A$7:$A357),'Agenda 2026'!$N$2:$N$376,0)),"")</f>
        <v/>
      </c>
      <c r="M357" s="50" t="str">
        <f t="array" ref="M357">IFERROR(INDEX('Agenda 2026'!O$2:O$376,MATCH(ROWS($A$7:$A357),'Agenda 2026'!$N$2:$N$376,0)),"")</f>
        <v/>
      </c>
    </row>
    <row r="358" spans="1:13" ht="42" customHeight="1" x14ac:dyDescent="0.35">
      <c r="A358" s="42" t="str">
        <f t="array" ref="A358">IFERROR(INDEX('Agenda 2026'!A$2:A$376,MATCH(ROWS($A$7:$A358),'Agenda 2026'!$N$2:$N$376,0)),"")</f>
        <v/>
      </c>
      <c r="B358" s="43" t="str">
        <f t="array" ref="B358">IFERROR(INDEX('Agenda 2026'!P$2:P$376,MATCH(ROWS($A$7:$A358),'Agenda 2026'!$N$2:$N$376,0)),"")</f>
        <v/>
      </c>
      <c r="C358" s="44" t="str">
        <f t="array" ref="C358">IFERROR(INDEX('Agenda 2026'!B$2:B$376,MATCH(ROWS($A$7:$A358),'Agenda 2026'!$N$2:$N$376,0)),"")</f>
        <v/>
      </c>
      <c r="D358" s="44" t="str">
        <f t="array" ref="D358">IFERROR(INDEX('Agenda 2026'!C$2:C$376,MATCH(ROWS($A$7:$A358),'Agenda 2026'!$N$2:$N$376,0)),"")</f>
        <v/>
      </c>
      <c r="E358" s="44" t="str">
        <f t="array" ref="E358">IFERROR(INDEX('Agenda 2026'!D$2:D$376,MATCH(ROWS($A$7:$A358),'Agenda 2026'!$N$2:$N$376,0)),"")</f>
        <v/>
      </c>
      <c r="F358" s="45" t="str">
        <f t="array" ref="F358">IFERROR(INDEX('Agenda 2026'!E$2:E$376,MATCH(ROWS($A$7:$A358),'Agenda 2026'!$N$2:$N$376,0)),"")</f>
        <v/>
      </c>
      <c r="G358" s="44" t="str">
        <f t="array" ref="G358">IFERROR(INDEX('Agenda 2026'!F$2:F$376,MATCH(ROWS($A$7:$A358),'Agenda 2026'!$N$2:$N$376,0)),"")</f>
        <v/>
      </c>
      <c r="H358" s="44" t="str">
        <f t="array" ref="H358">IFERROR(INDEX('Agenda 2026'!G$2:G$376,MATCH(ROWS($A$7:$A358),'Agenda 2026'!$N$2:$N$376,0)),"")</f>
        <v/>
      </c>
      <c r="I358" s="46" t="str">
        <f t="array" ref="I358">IFERROR(INDEX('Agenda 2026'!H$2:H$376,MATCH(ROWS($A$7:$A358),'Agenda 2026'!$N$2:$N$376,0)),"")</f>
        <v/>
      </c>
      <c r="J358" s="47"/>
      <c r="K358" s="48" t="str">
        <f t="array" ref="K358">IFERROR(HYPERLINK(INDEX('Agenda 2026'!J$2:J$376,MATCH(ROWS($A$7:$A358),'Agenda 2026'!$N$2:$N$376,0)),"Ver fuente ↗"),"")</f>
        <v/>
      </c>
      <c r="L358" s="49" t="str">
        <f t="array" ref="L358">IFERROR(INDEX('Agenda 2026'!K$2:K$376,MATCH(ROWS($A$7:$A358),'Agenda 2026'!$N$2:$N$376,0)),"")</f>
        <v/>
      </c>
      <c r="M358" s="50" t="str">
        <f t="array" ref="M358">IFERROR(INDEX('Agenda 2026'!O$2:O$376,MATCH(ROWS($A$7:$A358),'Agenda 2026'!$N$2:$N$376,0)),"")</f>
        <v/>
      </c>
    </row>
    <row r="359" spans="1:13" ht="42" customHeight="1" x14ac:dyDescent="0.35">
      <c r="A359" s="42" t="str">
        <f t="array" ref="A359">IFERROR(INDEX('Agenda 2026'!A$2:A$376,MATCH(ROWS($A$7:$A359),'Agenda 2026'!$N$2:$N$376,0)),"")</f>
        <v/>
      </c>
      <c r="B359" s="43" t="str">
        <f t="array" ref="B359">IFERROR(INDEX('Agenda 2026'!P$2:P$376,MATCH(ROWS($A$7:$A359),'Agenda 2026'!$N$2:$N$376,0)),"")</f>
        <v/>
      </c>
      <c r="C359" s="44" t="str">
        <f t="array" ref="C359">IFERROR(INDEX('Agenda 2026'!B$2:B$376,MATCH(ROWS($A$7:$A359),'Agenda 2026'!$N$2:$N$376,0)),"")</f>
        <v/>
      </c>
      <c r="D359" s="44" t="str">
        <f t="array" ref="D359">IFERROR(INDEX('Agenda 2026'!C$2:C$376,MATCH(ROWS($A$7:$A359),'Agenda 2026'!$N$2:$N$376,0)),"")</f>
        <v/>
      </c>
      <c r="E359" s="44" t="str">
        <f t="array" ref="E359">IFERROR(INDEX('Agenda 2026'!D$2:D$376,MATCH(ROWS($A$7:$A359),'Agenda 2026'!$N$2:$N$376,0)),"")</f>
        <v/>
      </c>
      <c r="F359" s="45" t="str">
        <f t="array" ref="F359">IFERROR(INDEX('Agenda 2026'!E$2:E$376,MATCH(ROWS($A$7:$A359),'Agenda 2026'!$N$2:$N$376,0)),"")</f>
        <v/>
      </c>
      <c r="G359" s="44" t="str">
        <f t="array" ref="G359">IFERROR(INDEX('Agenda 2026'!F$2:F$376,MATCH(ROWS($A$7:$A359),'Agenda 2026'!$N$2:$N$376,0)),"")</f>
        <v/>
      </c>
      <c r="H359" s="44" t="str">
        <f t="array" ref="H359">IFERROR(INDEX('Agenda 2026'!G$2:G$376,MATCH(ROWS($A$7:$A359),'Agenda 2026'!$N$2:$N$376,0)),"")</f>
        <v/>
      </c>
      <c r="I359" s="46" t="str">
        <f t="array" ref="I359">IFERROR(INDEX('Agenda 2026'!H$2:H$376,MATCH(ROWS($A$7:$A359),'Agenda 2026'!$N$2:$N$376,0)),"")</f>
        <v/>
      </c>
      <c r="J359" s="47"/>
      <c r="K359" s="48" t="str">
        <f t="array" ref="K359">IFERROR(HYPERLINK(INDEX('Agenda 2026'!J$2:J$376,MATCH(ROWS($A$7:$A359),'Agenda 2026'!$N$2:$N$376,0)),"Ver fuente ↗"),"")</f>
        <v/>
      </c>
      <c r="L359" s="49" t="str">
        <f t="array" ref="L359">IFERROR(INDEX('Agenda 2026'!K$2:K$376,MATCH(ROWS($A$7:$A359),'Agenda 2026'!$N$2:$N$376,0)),"")</f>
        <v/>
      </c>
      <c r="M359" s="50" t="str">
        <f t="array" ref="M359">IFERROR(INDEX('Agenda 2026'!O$2:O$376,MATCH(ROWS($A$7:$A359),'Agenda 2026'!$N$2:$N$376,0)),"")</f>
        <v/>
      </c>
    </row>
    <row r="360" spans="1:13" ht="42" customHeight="1" x14ac:dyDescent="0.35">
      <c r="A360" s="42" t="str">
        <f t="array" ref="A360">IFERROR(INDEX('Agenda 2026'!A$2:A$376,MATCH(ROWS($A$7:$A360),'Agenda 2026'!$N$2:$N$376,0)),"")</f>
        <v/>
      </c>
      <c r="B360" s="43" t="str">
        <f t="array" ref="B360">IFERROR(INDEX('Agenda 2026'!P$2:P$376,MATCH(ROWS($A$7:$A360),'Agenda 2026'!$N$2:$N$376,0)),"")</f>
        <v/>
      </c>
      <c r="C360" s="44" t="str">
        <f t="array" ref="C360">IFERROR(INDEX('Agenda 2026'!B$2:B$376,MATCH(ROWS($A$7:$A360),'Agenda 2026'!$N$2:$N$376,0)),"")</f>
        <v/>
      </c>
      <c r="D360" s="44" t="str">
        <f t="array" ref="D360">IFERROR(INDEX('Agenda 2026'!C$2:C$376,MATCH(ROWS($A$7:$A360),'Agenda 2026'!$N$2:$N$376,0)),"")</f>
        <v/>
      </c>
      <c r="E360" s="44" t="str">
        <f t="array" ref="E360">IFERROR(INDEX('Agenda 2026'!D$2:D$376,MATCH(ROWS($A$7:$A360),'Agenda 2026'!$N$2:$N$376,0)),"")</f>
        <v/>
      </c>
      <c r="F360" s="45" t="str">
        <f t="array" ref="F360">IFERROR(INDEX('Agenda 2026'!E$2:E$376,MATCH(ROWS($A$7:$A360),'Agenda 2026'!$N$2:$N$376,0)),"")</f>
        <v/>
      </c>
      <c r="G360" s="44" t="str">
        <f t="array" ref="G360">IFERROR(INDEX('Agenda 2026'!F$2:F$376,MATCH(ROWS($A$7:$A360),'Agenda 2026'!$N$2:$N$376,0)),"")</f>
        <v/>
      </c>
      <c r="H360" s="44" t="str">
        <f t="array" ref="H360">IFERROR(INDEX('Agenda 2026'!G$2:G$376,MATCH(ROWS($A$7:$A360),'Agenda 2026'!$N$2:$N$376,0)),"")</f>
        <v/>
      </c>
      <c r="I360" s="46" t="str">
        <f t="array" ref="I360">IFERROR(INDEX('Agenda 2026'!H$2:H$376,MATCH(ROWS($A$7:$A360),'Agenda 2026'!$N$2:$N$376,0)),"")</f>
        <v/>
      </c>
      <c r="J360" s="47"/>
      <c r="K360" s="48" t="str">
        <f t="array" ref="K360">IFERROR(HYPERLINK(INDEX('Agenda 2026'!J$2:J$376,MATCH(ROWS($A$7:$A360),'Agenda 2026'!$N$2:$N$376,0)),"Ver fuente ↗"),"")</f>
        <v/>
      </c>
      <c r="L360" s="49" t="str">
        <f t="array" ref="L360">IFERROR(INDEX('Agenda 2026'!K$2:K$376,MATCH(ROWS($A$7:$A360),'Agenda 2026'!$N$2:$N$376,0)),"")</f>
        <v/>
      </c>
      <c r="M360" s="50" t="str">
        <f t="array" ref="M360">IFERROR(INDEX('Agenda 2026'!O$2:O$376,MATCH(ROWS($A$7:$A360),'Agenda 2026'!$N$2:$N$376,0)),"")</f>
        <v/>
      </c>
    </row>
    <row r="361" spans="1:13" ht="42" customHeight="1" x14ac:dyDescent="0.35">
      <c r="A361" s="42" t="str">
        <f t="array" ref="A361">IFERROR(INDEX('Agenda 2026'!A$2:A$376,MATCH(ROWS($A$7:$A361),'Agenda 2026'!$N$2:$N$376,0)),"")</f>
        <v/>
      </c>
      <c r="B361" s="43" t="str">
        <f t="array" ref="B361">IFERROR(INDEX('Agenda 2026'!P$2:P$376,MATCH(ROWS($A$7:$A361),'Agenda 2026'!$N$2:$N$376,0)),"")</f>
        <v/>
      </c>
      <c r="C361" s="44" t="str">
        <f t="array" ref="C361">IFERROR(INDEX('Agenda 2026'!B$2:B$376,MATCH(ROWS($A$7:$A361),'Agenda 2026'!$N$2:$N$376,0)),"")</f>
        <v/>
      </c>
      <c r="D361" s="44" t="str">
        <f t="array" ref="D361">IFERROR(INDEX('Agenda 2026'!C$2:C$376,MATCH(ROWS($A$7:$A361),'Agenda 2026'!$N$2:$N$376,0)),"")</f>
        <v/>
      </c>
      <c r="E361" s="44" t="str">
        <f t="array" ref="E361">IFERROR(INDEX('Agenda 2026'!D$2:D$376,MATCH(ROWS($A$7:$A361),'Agenda 2026'!$N$2:$N$376,0)),"")</f>
        <v/>
      </c>
      <c r="F361" s="45" t="str">
        <f t="array" ref="F361">IFERROR(INDEX('Agenda 2026'!E$2:E$376,MATCH(ROWS($A$7:$A361),'Agenda 2026'!$N$2:$N$376,0)),"")</f>
        <v/>
      </c>
      <c r="G361" s="44" t="str">
        <f t="array" ref="G361">IFERROR(INDEX('Agenda 2026'!F$2:F$376,MATCH(ROWS($A$7:$A361),'Agenda 2026'!$N$2:$N$376,0)),"")</f>
        <v/>
      </c>
      <c r="H361" s="44" t="str">
        <f t="array" ref="H361">IFERROR(INDEX('Agenda 2026'!G$2:G$376,MATCH(ROWS($A$7:$A361),'Agenda 2026'!$N$2:$N$376,0)),"")</f>
        <v/>
      </c>
      <c r="I361" s="46" t="str">
        <f t="array" ref="I361">IFERROR(INDEX('Agenda 2026'!H$2:H$376,MATCH(ROWS($A$7:$A361),'Agenda 2026'!$N$2:$N$376,0)),"")</f>
        <v/>
      </c>
      <c r="J361" s="47"/>
      <c r="K361" s="48" t="str">
        <f t="array" ref="K361">IFERROR(HYPERLINK(INDEX('Agenda 2026'!J$2:J$376,MATCH(ROWS($A$7:$A361),'Agenda 2026'!$N$2:$N$376,0)),"Ver fuente ↗"),"")</f>
        <v/>
      </c>
      <c r="L361" s="49" t="str">
        <f t="array" ref="L361">IFERROR(INDEX('Agenda 2026'!K$2:K$376,MATCH(ROWS($A$7:$A361),'Agenda 2026'!$N$2:$N$376,0)),"")</f>
        <v/>
      </c>
      <c r="M361" s="50" t="str">
        <f t="array" ref="M361">IFERROR(INDEX('Agenda 2026'!O$2:O$376,MATCH(ROWS($A$7:$A361),'Agenda 2026'!$N$2:$N$376,0)),"")</f>
        <v/>
      </c>
    </row>
    <row r="362" spans="1:13" ht="42" customHeight="1" x14ac:dyDescent="0.35">
      <c r="A362" s="42" t="str">
        <f t="array" ref="A362">IFERROR(INDEX('Agenda 2026'!A$2:A$376,MATCH(ROWS($A$7:$A362),'Agenda 2026'!$N$2:$N$376,0)),"")</f>
        <v/>
      </c>
      <c r="B362" s="43" t="str">
        <f t="array" ref="B362">IFERROR(INDEX('Agenda 2026'!P$2:P$376,MATCH(ROWS($A$7:$A362),'Agenda 2026'!$N$2:$N$376,0)),"")</f>
        <v/>
      </c>
      <c r="C362" s="44" t="str">
        <f t="array" ref="C362">IFERROR(INDEX('Agenda 2026'!B$2:B$376,MATCH(ROWS($A$7:$A362),'Agenda 2026'!$N$2:$N$376,0)),"")</f>
        <v/>
      </c>
      <c r="D362" s="44" t="str">
        <f t="array" ref="D362">IFERROR(INDEX('Agenda 2026'!C$2:C$376,MATCH(ROWS($A$7:$A362),'Agenda 2026'!$N$2:$N$376,0)),"")</f>
        <v/>
      </c>
      <c r="E362" s="44" t="str">
        <f t="array" ref="E362">IFERROR(INDEX('Agenda 2026'!D$2:D$376,MATCH(ROWS($A$7:$A362),'Agenda 2026'!$N$2:$N$376,0)),"")</f>
        <v/>
      </c>
      <c r="F362" s="45" t="str">
        <f t="array" ref="F362">IFERROR(INDEX('Agenda 2026'!E$2:E$376,MATCH(ROWS($A$7:$A362),'Agenda 2026'!$N$2:$N$376,0)),"")</f>
        <v/>
      </c>
      <c r="G362" s="44" t="str">
        <f t="array" ref="G362">IFERROR(INDEX('Agenda 2026'!F$2:F$376,MATCH(ROWS($A$7:$A362),'Agenda 2026'!$N$2:$N$376,0)),"")</f>
        <v/>
      </c>
      <c r="H362" s="44" t="str">
        <f t="array" ref="H362">IFERROR(INDEX('Agenda 2026'!G$2:G$376,MATCH(ROWS($A$7:$A362),'Agenda 2026'!$N$2:$N$376,0)),"")</f>
        <v/>
      </c>
      <c r="I362" s="46" t="str">
        <f t="array" ref="I362">IFERROR(INDEX('Agenda 2026'!H$2:H$376,MATCH(ROWS($A$7:$A362),'Agenda 2026'!$N$2:$N$376,0)),"")</f>
        <v/>
      </c>
      <c r="J362" s="47"/>
      <c r="K362" s="48" t="str">
        <f t="array" ref="K362">IFERROR(HYPERLINK(INDEX('Agenda 2026'!J$2:J$376,MATCH(ROWS($A$7:$A362),'Agenda 2026'!$N$2:$N$376,0)),"Ver fuente ↗"),"")</f>
        <v/>
      </c>
      <c r="L362" s="49" t="str">
        <f t="array" ref="L362">IFERROR(INDEX('Agenda 2026'!K$2:K$376,MATCH(ROWS($A$7:$A362),'Agenda 2026'!$N$2:$N$376,0)),"")</f>
        <v/>
      </c>
      <c r="M362" s="50" t="str">
        <f t="array" ref="M362">IFERROR(INDEX('Agenda 2026'!O$2:O$376,MATCH(ROWS($A$7:$A362),'Agenda 2026'!$N$2:$N$376,0)),"")</f>
        <v/>
      </c>
    </row>
    <row r="363" spans="1:13" ht="42" customHeight="1" x14ac:dyDescent="0.35">
      <c r="A363" s="42" t="str">
        <f t="array" ref="A363">IFERROR(INDEX('Agenda 2026'!A$2:A$376,MATCH(ROWS($A$7:$A363),'Agenda 2026'!$N$2:$N$376,0)),"")</f>
        <v/>
      </c>
      <c r="B363" s="43" t="str">
        <f t="array" ref="B363">IFERROR(INDEX('Agenda 2026'!P$2:P$376,MATCH(ROWS($A$7:$A363),'Agenda 2026'!$N$2:$N$376,0)),"")</f>
        <v/>
      </c>
      <c r="C363" s="44" t="str">
        <f t="array" ref="C363">IFERROR(INDEX('Agenda 2026'!B$2:B$376,MATCH(ROWS($A$7:$A363),'Agenda 2026'!$N$2:$N$376,0)),"")</f>
        <v/>
      </c>
      <c r="D363" s="44" t="str">
        <f t="array" ref="D363">IFERROR(INDEX('Agenda 2026'!C$2:C$376,MATCH(ROWS($A$7:$A363),'Agenda 2026'!$N$2:$N$376,0)),"")</f>
        <v/>
      </c>
      <c r="E363" s="44" t="str">
        <f t="array" ref="E363">IFERROR(INDEX('Agenda 2026'!D$2:D$376,MATCH(ROWS($A$7:$A363),'Agenda 2026'!$N$2:$N$376,0)),"")</f>
        <v/>
      </c>
      <c r="F363" s="45" t="str">
        <f t="array" ref="F363">IFERROR(INDEX('Agenda 2026'!E$2:E$376,MATCH(ROWS($A$7:$A363),'Agenda 2026'!$N$2:$N$376,0)),"")</f>
        <v/>
      </c>
      <c r="G363" s="44" t="str">
        <f t="array" ref="G363">IFERROR(INDEX('Agenda 2026'!F$2:F$376,MATCH(ROWS($A$7:$A363),'Agenda 2026'!$N$2:$N$376,0)),"")</f>
        <v/>
      </c>
      <c r="H363" s="44" t="str">
        <f t="array" ref="H363">IFERROR(INDEX('Agenda 2026'!G$2:G$376,MATCH(ROWS($A$7:$A363),'Agenda 2026'!$N$2:$N$376,0)),"")</f>
        <v/>
      </c>
      <c r="I363" s="46" t="str">
        <f t="array" ref="I363">IFERROR(INDEX('Agenda 2026'!H$2:H$376,MATCH(ROWS($A$7:$A363),'Agenda 2026'!$N$2:$N$376,0)),"")</f>
        <v/>
      </c>
      <c r="J363" s="47"/>
      <c r="K363" s="48" t="str">
        <f t="array" ref="K363">IFERROR(HYPERLINK(INDEX('Agenda 2026'!J$2:J$376,MATCH(ROWS($A$7:$A363),'Agenda 2026'!$N$2:$N$376,0)),"Ver fuente ↗"),"")</f>
        <v/>
      </c>
      <c r="L363" s="49" t="str">
        <f t="array" ref="L363">IFERROR(INDEX('Agenda 2026'!K$2:K$376,MATCH(ROWS($A$7:$A363),'Agenda 2026'!$N$2:$N$376,0)),"")</f>
        <v/>
      </c>
      <c r="M363" s="50" t="str">
        <f t="array" ref="M363">IFERROR(INDEX('Agenda 2026'!O$2:O$376,MATCH(ROWS($A$7:$A363),'Agenda 2026'!$N$2:$N$376,0)),"")</f>
        <v/>
      </c>
    </row>
    <row r="364" spans="1:13" ht="42" customHeight="1" x14ac:dyDescent="0.35">
      <c r="A364" s="42" t="str">
        <f t="array" ref="A364">IFERROR(INDEX('Agenda 2026'!A$2:A$376,MATCH(ROWS($A$7:$A364),'Agenda 2026'!$N$2:$N$376,0)),"")</f>
        <v/>
      </c>
      <c r="B364" s="43" t="str">
        <f t="array" ref="B364">IFERROR(INDEX('Agenda 2026'!P$2:P$376,MATCH(ROWS($A$7:$A364),'Agenda 2026'!$N$2:$N$376,0)),"")</f>
        <v/>
      </c>
      <c r="C364" s="44" t="str">
        <f t="array" ref="C364">IFERROR(INDEX('Agenda 2026'!B$2:B$376,MATCH(ROWS($A$7:$A364),'Agenda 2026'!$N$2:$N$376,0)),"")</f>
        <v/>
      </c>
      <c r="D364" s="44" t="str">
        <f t="array" ref="D364">IFERROR(INDEX('Agenda 2026'!C$2:C$376,MATCH(ROWS($A$7:$A364),'Agenda 2026'!$N$2:$N$376,0)),"")</f>
        <v/>
      </c>
      <c r="E364" s="44" t="str">
        <f t="array" ref="E364">IFERROR(INDEX('Agenda 2026'!D$2:D$376,MATCH(ROWS($A$7:$A364),'Agenda 2026'!$N$2:$N$376,0)),"")</f>
        <v/>
      </c>
      <c r="F364" s="45" t="str">
        <f t="array" ref="F364">IFERROR(INDEX('Agenda 2026'!E$2:E$376,MATCH(ROWS($A$7:$A364),'Agenda 2026'!$N$2:$N$376,0)),"")</f>
        <v/>
      </c>
      <c r="G364" s="44" t="str">
        <f t="array" ref="G364">IFERROR(INDEX('Agenda 2026'!F$2:F$376,MATCH(ROWS($A$7:$A364),'Agenda 2026'!$N$2:$N$376,0)),"")</f>
        <v/>
      </c>
      <c r="H364" s="44" t="str">
        <f t="array" ref="H364">IFERROR(INDEX('Agenda 2026'!G$2:G$376,MATCH(ROWS($A$7:$A364),'Agenda 2026'!$N$2:$N$376,0)),"")</f>
        <v/>
      </c>
      <c r="I364" s="46" t="str">
        <f t="array" ref="I364">IFERROR(INDEX('Agenda 2026'!H$2:H$376,MATCH(ROWS($A$7:$A364),'Agenda 2026'!$N$2:$N$376,0)),"")</f>
        <v/>
      </c>
      <c r="J364" s="47"/>
      <c r="K364" s="48" t="str">
        <f t="array" ref="K364">IFERROR(HYPERLINK(INDEX('Agenda 2026'!J$2:J$376,MATCH(ROWS($A$7:$A364),'Agenda 2026'!$N$2:$N$376,0)),"Ver fuente ↗"),"")</f>
        <v/>
      </c>
      <c r="L364" s="49" t="str">
        <f t="array" ref="L364">IFERROR(INDEX('Agenda 2026'!K$2:K$376,MATCH(ROWS($A$7:$A364),'Agenda 2026'!$N$2:$N$376,0)),"")</f>
        <v/>
      </c>
      <c r="M364" s="50" t="str">
        <f t="array" ref="M364">IFERROR(INDEX('Agenda 2026'!O$2:O$376,MATCH(ROWS($A$7:$A364),'Agenda 2026'!$N$2:$N$376,0)),"")</f>
        <v/>
      </c>
    </row>
    <row r="365" spans="1:13" ht="42" customHeight="1" x14ac:dyDescent="0.35">
      <c r="A365" s="42" t="str">
        <f t="array" ref="A365">IFERROR(INDEX('Agenda 2026'!A$2:A$376,MATCH(ROWS($A$7:$A365),'Agenda 2026'!$N$2:$N$376,0)),"")</f>
        <v/>
      </c>
      <c r="B365" s="43" t="str">
        <f t="array" ref="B365">IFERROR(INDEX('Agenda 2026'!P$2:P$376,MATCH(ROWS($A$7:$A365),'Agenda 2026'!$N$2:$N$376,0)),"")</f>
        <v/>
      </c>
      <c r="C365" s="44" t="str">
        <f t="array" ref="C365">IFERROR(INDEX('Agenda 2026'!B$2:B$376,MATCH(ROWS($A$7:$A365),'Agenda 2026'!$N$2:$N$376,0)),"")</f>
        <v/>
      </c>
      <c r="D365" s="44" t="str">
        <f t="array" ref="D365">IFERROR(INDEX('Agenda 2026'!C$2:C$376,MATCH(ROWS($A$7:$A365),'Agenda 2026'!$N$2:$N$376,0)),"")</f>
        <v/>
      </c>
      <c r="E365" s="44" t="str">
        <f t="array" ref="E365">IFERROR(INDEX('Agenda 2026'!D$2:D$376,MATCH(ROWS($A$7:$A365),'Agenda 2026'!$N$2:$N$376,0)),"")</f>
        <v/>
      </c>
      <c r="F365" s="45" t="str">
        <f t="array" ref="F365">IFERROR(INDEX('Agenda 2026'!E$2:E$376,MATCH(ROWS($A$7:$A365),'Agenda 2026'!$N$2:$N$376,0)),"")</f>
        <v/>
      </c>
      <c r="G365" s="44" t="str">
        <f t="array" ref="G365">IFERROR(INDEX('Agenda 2026'!F$2:F$376,MATCH(ROWS($A$7:$A365),'Agenda 2026'!$N$2:$N$376,0)),"")</f>
        <v/>
      </c>
      <c r="H365" s="44" t="str">
        <f t="array" ref="H365">IFERROR(INDEX('Agenda 2026'!G$2:G$376,MATCH(ROWS($A$7:$A365),'Agenda 2026'!$N$2:$N$376,0)),"")</f>
        <v/>
      </c>
      <c r="I365" s="46" t="str">
        <f t="array" ref="I365">IFERROR(INDEX('Agenda 2026'!H$2:H$376,MATCH(ROWS($A$7:$A365),'Agenda 2026'!$N$2:$N$376,0)),"")</f>
        <v/>
      </c>
      <c r="J365" s="47"/>
      <c r="K365" s="48" t="str">
        <f t="array" ref="K365">IFERROR(HYPERLINK(INDEX('Agenda 2026'!J$2:J$376,MATCH(ROWS($A$7:$A365),'Agenda 2026'!$N$2:$N$376,0)),"Ver fuente ↗"),"")</f>
        <v/>
      </c>
      <c r="L365" s="49" t="str">
        <f t="array" ref="L365">IFERROR(INDEX('Agenda 2026'!K$2:K$376,MATCH(ROWS($A$7:$A365),'Agenda 2026'!$N$2:$N$376,0)),"")</f>
        <v/>
      </c>
      <c r="M365" s="50" t="str">
        <f t="array" ref="M365">IFERROR(INDEX('Agenda 2026'!O$2:O$376,MATCH(ROWS($A$7:$A365),'Agenda 2026'!$N$2:$N$376,0)),"")</f>
        <v/>
      </c>
    </row>
    <row r="366" spans="1:13" ht="42" customHeight="1" x14ac:dyDescent="0.35">
      <c r="A366" s="42" t="str">
        <f t="array" ref="A366">IFERROR(INDEX('Agenda 2026'!A$2:A$376,MATCH(ROWS($A$7:$A366),'Agenda 2026'!$N$2:$N$376,0)),"")</f>
        <v/>
      </c>
      <c r="B366" s="43" t="str">
        <f t="array" ref="B366">IFERROR(INDEX('Agenda 2026'!P$2:P$376,MATCH(ROWS($A$7:$A366),'Agenda 2026'!$N$2:$N$376,0)),"")</f>
        <v/>
      </c>
      <c r="C366" s="44" t="str">
        <f t="array" ref="C366">IFERROR(INDEX('Agenda 2026'!B$2:B$376,MATCH(ROWS($A$7:$A366),'Agenda 2026'!$N$2:$N$376,0)),"")</f>
        <v/>
      </c>
      <c r="D366" s="44" t="str">
        <f t="array" ref="D366">IFERROR(INDEX('Agenda 2026'!C$2:C$376,MATCH(ROWS($A$7:$A366),'Agenda 2026'!$N$2:$N$376,0)),"")</f>
        <v/>
      </c>
      <c r="E366" s="44" t="str">
        <f t="array" ref="E366">IFERROR(INDEX('Agenda 2026'!D$2:D$376,MATCH(ROWS($A$7:$A366),'Agenda 2026'!$N$2:$N$376,0)),"")</f>
        <v/>
      </c>
      <c r="F366" s="45" t="str">
        <f t="array" ref="F366">IFERROR(INDEX('Agenda 2026'!E$2:E$376,MATCH(ROWS($A$7:$A366),'Agenda 2026'!$N$2:$N$376,0)),"")</f>
        <v/>
      </c>
      <c r="G366" s="44" t="str">
        <f t="array" ref="G366">IFERROR(INDEX('Agenda 2026'!F$2:F$376,MATCH(ROWS($A$7:$A366),'Agenda 2026'!$N$2:$N$376,0)),"")</f>
        <v/>
      </c>
      <c r="H366" s="44" t="str">
        <f t="array" ref="H366">IFERROR(INDEX('Agenda 2026'!G$2:G$376,MATCH(ROWS($A$7:$A366),'Agenda 2026'!$N$2:$N$376,0)),"")</f>
        <v/>
      </c>
      <c r="I366" s="46" t="str">
        <f t="array" ref="I366">IFERROR(INDEX('Agenda 2026'!H$2:H$376,MATCH(ROWS($A$7:$A366),'Agenda 2026'!$N$2:$N$376,0)),"")</f>
        <v/>
      </c>
      <c r="J366" s="47"/>
      <c r="K366" s="48" t="str">
        <f t="array" ref="K366">IFERROR(HYPERLINK(INDEX('Agenda 2026'!J$2:J$376,MATCH(ROWS($A$7:$A366),'Agenda 2026'!$N$2:$N$376,0)),"Ver fuente ↗"),"")</f>
        <v/>
      </c>
      <c r="L366" s="49" t="str">
        <f t="array" ref="L366">IFERROR(INDEX('Agenda 2026'!K$2:K$376,MATCH(ROWS($A$7:$A366),'Agenda 2026'!$N$2:$N$376,0)),"")</f>
        <v/>
      </c>
      <c r="M366" s="50" t="str">
        <f t="array" ref="M366">IFERROR(INDEX('Agenda 2026'!O$2:O$376,MATCH(ROWS($A$7:$A366),'Agenda 2026'!$N$2:$N$376,0)),"")</f>
        <v/>
      </c>
    </row>
    <row r="367" spans="1:13" ht="42" customHeight="1" x14ac:dyDescent="0.35">
      <c r="A367" s="42" t="str">
        <f t="array" ref="A367">IFERROR(INDEX('Agenda 2026'!A$2:A$376,MATCH(ROWS($A$7:$A367),'Agenda 2026'!$N$2:$N$376,0)),"")</f>
        <v/>
      </c>
      <c r="B367" s="43" t="str">
        <f t="array" ref="B367">IFERROR(INDEX('Agenda 2026'!P$2:P$376,MATCH(ROWS($A$7:$A367),'Agenda 2026'!$N$2:$N$376,0)),"")</f>
        <v/>
      </c>
      <c r="C367" s="44" t="str">
        <f t="array" ref="C367">IFERROR(INDEX('Agenda 2026'!B$2:B$376,MATCH(ROWS($A$7:$A367),'Agenda 2026'!$N$2:$N$376,0)),"")</f>
        <v/>
      </c>
      <c r="D367" s="44" t="str">
        <f t="array" ref="D367">IFERROR(INDEX('Agenda 2026'!C$2:C$376,MATCH(ROWS($A$7:$A367),'Agenda 2026'!$N$2:$N$376,0)),"")</f>
        <v/>
      </c>
      <c r="E367" s="44" t="str">
        <f t="array" ref="E367">IFERROR(INDEX('Agenda 2026'!D$2:D$376,MATCH(ROWS($A$7:$A367),'Agenda 2026'!$N$2:$N$376,0)),"")</f>
        <v/>
      </c>
      <c r="F367" s="45" t="str">
        <f t="array" ref="F367">IFERROR(INDEX('Agenda 2026'!E$2:E$376,MATCH(ROWS($A$7:$A367),'Agenda 2026'!$N$2:$N$376,0)),"")</f>
        <v/>
      </c>
      <c r="G367" s="44" t="str">
        <f t="array" ref="G367">IFERROR(INDEX('Agenda 2026'!F$2:F$376,MATCH(ROWS($A$7:$A367),'Agenda 2026'!$N$2:$N$376,0)),"")</f>
        <v/>
      </c>
      <c r="H367" s="44" t="str">
        <f t="array" ref="H367">IFERROR(INDEX('Agenda 2026'!G$2:G$376,MATCH(ROWS($A$7:$A367),'Agenda 2026'!$N$2:$N$376,0)),"")</f>
        <v/>
      </c>
      <c r="I367" s="46" t="str">
        <f t="array" ref="I367">IFERROR(INDEX('Agenda 2026'!H$2:H$376,MATCH(ROWS($A$7:$A367),'Agenda 2026'!$N$2:$N$376,0)),"")</f>
        <v/>
      </c>
      <c r="J367" s="47"/>
      <c r="K367" s="48" t="str">
        <f t="array" ref="K367">IFERROR(HYPERLINK(INDEX('Agenda 2026'!J$2:J$376,MATCH(ROWS($A$7:$A367),'Agenda 2026'!$N$2:$N$376,0)),"Ver fuente ↗"),"")</f>
        <v/>
      </c>
      <c r="L367" s="49" t="str">
        <f t="array" ref="L367">IFERROR(INDEX('Agenda 2026'!K$2:K$376,MATCH(ROWS($A$7:$A367),'Agenda 2026'!$N$2:$N$376,0)),"")</f>
        <v/>
      </c>
      <c r="M367" s="50" t="str">
        <f t="array" ref="M367">IFERROR(INDEX('Agenda 2026'!O$2:O$376,MATCH(ROWS($A$7:$A367),'Agenda 2026'!$N$2:$N$376,0)),"")</f>
        <v/>
      </c>
    </row>
    <row r="368" spans="1:13" ht="42" customHeight="1" x14ac:dyDescent="0.35">
      <c r="A368" s="42" t="str">
        <f t="array" ref="A368">IFERROR(INDEX('Agenda 2026'!A$2:A$376,MATCH(ROWS($A$7:$A368),'Agenda 2026'!$N$2:$N$376,0)),"")</f>
        <v/>
      </c>
      <c r="B368" s="43" t="str">
        <f t="array" ref="B368">IFERROR(INDEX('Agenda 2026'!P$2:P$376,MATCH(ROWS($A$7:$A368),'Agenda 2026'!$N$2:$N$376,0)),"")</f>
        <v/>
      </c>
      <c r="C368" s="44" t="str">
        <f t="array" ref="C368">IFERROR(INDEX('Agenda 2026'!B$2:B$376,MATCH(ROWS($A$7:$A368),'Agenda 2026'!$N$2:$N$376,0)),"")</f>
        <v/>
      </c>
      <c r="D368" s="44" t="str">
        <f t="array" ref="D368">IFERROR(INDEX('Agenda 2026'!C$2:C$376,MATCH(ROWS($A$7:$A368),'Agenda 2026'!$N$2:$N$376,0)),"")</f>
        <v/>
      </c>
      <c r="E368" s="44" t="str">
        <f t="array" ref="E368">IFERROR(INDEX('Agenda 2026'!D$2:D$376,MATCH(ROWS($A$7:$A368),'Agenda 2026'!$N$2:$N$376,0)),"")</f>
        <v/>
      </c>
      <c r="F368" s="45" t="str">
        <f t="array" ref="F368">IFERROR(INDEX('Agenda 2026'!E$2:E$376,MATCH(ROWS($A$7:$A368),'Agenda 2026'!$N$2:$N$376,0)),"")</f>
        <v/>
      </c>
      <c r="G368" s="44" t="str">
        <f t="array" ref="G368">IFERROR(INDEX('Agenda 2026'!F$2:F$376,MATCH(ROWS($A$7:$A368),'Agenda 2026'!$N$2:$N$376,0)),"")</f>
        <v/>
      </c>
      <c r="H368" s="44" t="str">
        <f t="array" ref="H368">IFERROR(INDEX('Agenda 2026'!G$2:G$376,MATCH(ROWS($A$7:$A368),'Agenda 2026'!$N$2:$N$376,0)),"")</f>
        <v/>
      </c>
      <c r="I368" s="46" t="str">
        <f t="array" ref="I368">IFERROR(INDEX('Agenda 2026'!H$2:H$376,MATCH(ROWS($A$7:$A368),'Agenda 2026'!$N$2:$N$376,0)),"")</f>
        <v/>
      </c>
      <c r="J368" s="47"/>
      <c r="K368" s="48" t="str">
        <f t="array" ref="K368">IFERROR(HYPERLINK(INDEX('Agenda 2026'!J$2:J$376,MATCH(ROWS($A$7:$A368),'Agenda 2026'!$N$2:$N$376,0)),"Ver fuente ↗"),"")</f>
        <v/>
      </c>
      <c r="L368" s="49" t="str">
        <f t="array" ref="L368">IFERROR(INDEX('Agenda 2026'!K$2:K$376,MATCH(ROWS($A$7:$A368),'Agenda 2026'!$N$2:$N$376,0)),"")</f>
        <v/>
      </c>
      <c r="M368" s="50" t="str">
        <f t="array" ref="M368">IFERROR(INDEX('Agenda 2026'!O$2:O$376,MATCH(ROWS($A$7:$A368),'Agenda 2026'!$N$2:$N$376,0)),"")</f>
        <v/>
      </c>
    </row>
    <row r="369" spans="1:13" ht="42" customHeight="1" x14ac:dyDescent="0.35">
      <c r="A369" s="42" t="str">
        <f t="array" ref="A369">IFERROR(INDEX('Agenda 2026'!A$2:A$376,MATCH(ROWS($A$7:$A369),'Agenda 2026'!$N$2:$N$376,0)),"")</f>
        <v/>
      </c>
      <c r="B369" s="43" t="str">
        <f t="array" ref="B369">IFERROR(INDEX('Agenda 2026'!P$2:P$376,MATCH(ROWS($A$7:$A369),'Agenda 2026'!$N$2:$N$376,0)),"")</f>
        <v/>
      </c>
      <c r="C369" s="44" t="str">
        <f t="array" ref="C369">IFERROR(INDEX('Agenda 2026'!B$2:B$376,MATCH(ROWS($A$7:$A369),'Agenda 2026'!$N$2:$N$376,0)),"")</f>
        <v/>
      </c>
      <c r="D369" s="44" t="str">
        <f t="array" ref="D369">IFERROR(INDEX('Agenda 2026'!C$2:C$376,MATCH(ROWS($A$7:$A369),'Agenda 2026'!$N$2:$N$376,0)),"")</f>
        <v/>
      </c>
      <c r="E369" s="44" t="str">
        <f t="array" ref="E369">IFERROR(INDEX('Agenda 2026'!D$2:D$376,MATCH(ROWS($A$7:$A369),'Agenda 2026'!$N$2:$N$376,0)),"")</f>
        <v/>
      </c>
      <c r="F369" s="45" t="str">
        <f t="array" ref="F369">IFERROR(INDEX('Agenda 2026'!E$2:E$376,MATCH(ROWS($A$7:$A369),'Agenda 2026'!$N$2:$N$376,0)),"")</f>
        <v/>
      </c>
      <c r="G369" s="44" t="str">
        <f t="array" ref="G369">IFERROR(INDEX('Agenda 2026'!F$2:F$376,MATCH(ROWS($A$7:$A369),'Agenda 2026'!$N$2:$N$376,0)),"")</f>
        <v/>
      </c>
      <c r="H369" s="44" t="str">
        <f t="array" ref="H369">IFERROR(INDEX('Agenda 2026'!G$2:G$376,MATCH(ROWS($A$7:$A369),'Agenda 2026'!$N$2:$N$376,0)),"")</f>
        <v/>
      </c>
      <c r="I369" s="46" t="str">
        <f t="array" ref="I369">IFERROR(INDEX('Agenda 2026'!H$2:H$376,MATCH(ROWS($A$7:$A369),'Agenda 2026'!$N$2:$N$376,0)),"")</f>
        <v/>
      </c>
      <c r="J369" s="47"/>
      <c r="K369" s="48" t="str">
        <f t="array" ref="K369">IFERROR(HYPERLINK(INDEX('Agenda 2026'!J$2:J$376,MATCH(ROWS($A$7:$A369),'Agenda 2026'!$N$2:$N$376,0)),"Ver fuente ↗"),"")</f>
        <v/>
      </c>
      <c r="L369" s="49" t="str">
        <f t="array" ref="L369">IFERROR(INDEX('Agenda 2026'!K$2:K$376,MATCH(ROWS($A$7:$A369),'Agenda 2026'!$N$2:$N$376,0)),"")</f>
        <v/>
      </c>
      <c r="M369" s="50" t="str">
        <f t="array" ref="M369">IFERROR(INDEX('Agenda 2026'!O$2:O$376,MATCH(ROWS($A$7:$A369),'Agenda 2026'!$N$2:$N$376,0)),"")</f>
        <v/>
      </c>
    </row>
    <row r="370" spans="1:13" ht="42" customHeight="1" x14ac:dyDescent="0.35">
      <c r="A370" s="42" t="str">
        <f t="array" ref="A370">IFERROR(INDEX('Agenda 2026'!A$2:A$376,MATCH(ROWS($A$7:$A370),'Agenda 2026'!$N$2:$N$376,0)),"")</f>
        <v/>
      </c>
      <c r="B370" s="43" t="str">
        <f t="array" ref="B370">IFERROR(INDEX('Agenda 2026'!P$2:P$376,MATCH(ROWS($A$7:$A370),'Agenda 2026'!$N$2:$N$376,0)),"")</f>
        <v/>
      </c>
      <c r="C370" s="44" t="str">
        <f t="array" ref="C370">IFERROR(INDEX('Agenda 2026'!B$2:B$376,MATCH(ROWS($A$7:$A370),'Agenda 2026'!$N$2:$N$376,0)),"")</f>
        <v/>
      </c>
      <c r="D370" s="44" t="str">
        <f t="array" ref="D370">IFERROR(INDEX('Agenda 2026'!C$2:C$376,MATCH(ROWS($A$7:$A370),'Agenda 2026'!$N$2:$N$376,0)),"")</f>
        <v/>
      </c>
      <c r="E370" s="44" t="str">
        <f t="array" ref="E370">IFERROR(INDEX('Agenda 2026'!D$2:D$376,MATCH(ROWS($A$7:$A370),'Agenda 2026'!$N$2:$N$376,0)),"")</f>
        <v/>
      </c>
      <c r="F370" s="45" t="str">
        <f t="array" ref="F370">IFERROR(INDEX('Agenda 2026'!E$2:E$376,MATCH(ROWS($A$7:$A370),'Agenda 2026'!$N$2:$N$376,0)),"")</f>
        <v/>
      </c>
      <c r="G370" s="44" t="str">
        <f t="array" ref="G370">IFERROR(INDEX('Agenda 2026'!F$2:F$376,MATCH(ROWS($A$7:$A370),'Agenda 2026'!$N$2:$N$376,0)),"")</f>
        <v/>
      </c>
      <c r="H370" s="44" t="str">
        <f t="array" ref="H370">IFERROR(INDEX('Agenda 2026'!G$2:G$376,MATCH(ROWS($A$7:$A370),'Agenda 2026'!$N$2:$N$376,0)),"")</f>
        <v/>
      </c>
      <c r="I370" s="46" t="str">
        <f t="array" ref="I370">IFERROR(INDEX('Agenda 2026'!H$2:H$376,MATCH(ROWS($A$7:$A370),'Agenda 2026'!$N$2:$N$376,0)),"")</f>
        <v/>
      </c>
      <c r="J370" s="47"/>
      <c r="K370" s="48" t="str">
        <f t="array" ref="K370">IFERROR(HYPERLINK(INDEX('Agenda 2026'!J$2:J$376,MATCH(ROWS($A$7:$A370),'Agenda 2026'!$N$2:$N$376,0)),"Ver fuente ↗"),"")</f>
        <v/>
      </c>
      <c r="L370" s="49" t="str">
        <f t="array" ref="L370">IFERROR(INDEX('Agenda 2026'!K$2:K$376,MATCH(ROWS($A$7:$A370),'Agenda 2026'!$N$2:$N$376,0)),"")</f>
        <v/>
      </c>
      <c r="M370" s="50" t="str">
        <f t="array" ref="M370">IFERROR(INDEX('Agenda 2026'!O$2:O$376,MATCH(ROWS($A$7:$A370),'Agenda 2026'!$N$2:$N$376,0)),"")</f>
        <v/>
      </c>
    </row>
    <row r="371" spans="1:13" ht="42" customHeight="1" x14ac:dyDescent="0.35">
      <c r="A371" s="42" t="str">
        <f t="array" ref="A371">IFERROR(INDEX('Agenda 2026'!A$2:A$376,MATCH(ROWS($A$7:$A371),'Agenda 2026'!$N$2:$N$376,0)),"")</f>
        <v/>
      </c>
      <c r="B371" s="43" t="str">
        <f t="array" ref="B371">IFERROR(INDEX('Agenda 2026'!P$2:P$376,MATCH(ROWS($A$7:$A371),'Agenda 2026'!$N$2:$N$376,0)),"")</f>
        <v/>
      </c>
      <c r="C371" s="44" t="str">
        <f t="array" ref="C371">IFERROR(INDEX('Agenda 2026'!B$2:B$376,MATCH(ROWS($A$7:$A371),'Agenda 2026'!$N$2:$N$376,0)),"")</f>
        <v/>
      </c>
      <c r="D371" s="44" t="str">
        <f t="array" ref="D371">IFERROR(INDEX('Agenda 2026'!C$2:C$376,MATCH(ROWS($A$7:$A371),'Agenda 2026'!$N$2:$N$376,0)),"")</f>
        <v/>
      </c>
      <c r="E371" s="44" t="str">
        <f t="array" ref="E371">IFERROR(INDEX('Agenda 2026'!D$2:D$376,MATCH(ROWS($A$7:$A371),'Agenda 2026'!$N$2:$N$376,0)),"")</f>
        <v/>
      </c>
      <c r="F371" s="45" t="str">
        <f t="array" ref="F371">IFERROR(INDEX('Agenda 2026'!E$2:E$376,MATCH(ROWS($A$7:$A371),'Agenda 2026'!$N$2:$N$376,0)),"")</f>
        <v/>
      </c>
      <c r="G371" s="44" t="str">
        <f t="array" ref="G371">IFERROR(INDEX('Agenda 2026'!F$2:F$376,MATCH(ROWS($A$7:$A371),'Agenda 2026'!$N$2:$N$376,0)),"")</f>
        <v/>
      </c>
      <c r="H371" s="44" t="str">
        <f t="array" ref="H371">IFERROR(INDEX('Agenda 2026'!G$2:G$376,MATCH(ROWS($A$7:$A371),'Agenda 2026'!$N$2:$N$376,0)),"")</f>
        <v/>
      </c>
      <c r="I371" s="46" t="str">
        <f t="array" ref="I371">IFERROR(INDEX('Agenda 2026'!H$2:H$376,MATCH(ROWS($A$7:$A371),'Agenda 2026'!$N$2:$N$376,0)),"")</f>
        <v/>
      </c>
      <c r="J371" s="47"/>
      <c r="K371" s="48" t="str">
        <f t="array" ref="K371">IFERROR(HYPERLINK(INDEX('Agenda 2026'!J$2:J$376,MATCH(ROWS($A$7:$A371),'Agenda 2026'!$N$2:$N$376,0)),"Ver fuente ↗"),"")</f>
        <v/>
      </c>
      <c r="L371" s="49" t="str">
        <f t="array" ref="L371">IFERROR(INDEX('Agenda 2026'!K$2:K$376,MATCH(ROWS($A$7:$A371),'Agenda 2026'!$N$2:$N$376,0)),"")</f>
        <v/>
      </c>
      <c r="M371" s="50" t="str">
        <f t="array" ref="M371">IFERROR(INDEX('Agenda 2026'!O$2:O$376,MATCH(ROWS($A$7:$A371),'Agenda 2026'!$N$2:$N$376,0)),"")</f>
        <v/>
      </c>
    </row>
    <row r="372" spans="1:13" ht="42" customHeight="1" x14ac:dyDescent="0.35">
      <c r="A372" s="42" t="str">
        <f t="array" ref="A372">IFERROR(INDEX('Agenda 2026'!A$2:A$376,MATCH(ROWS($A$7:$A372),'Agenda 2026'!$N$2:$N$376,0)),"")</f>
        <v/>
      </c>
      <c r="B372" s="43" t="str">
        <f t="array" ref="B372">IFERROR(INDEX('Agenda 2026'!P$2:P$376,MATCH(ROWS($A$7:$A372),'Agenda 2026'!$N$2:$N$376,0)),"")</f>
        <v/>
      </c>
      <c r="C372" s="44" t="str">
        <f t="array" ref="C372">IFERROR(INDEX('Agenda 2026'!B$2:B$376,MATCH(ROWS($A$7:$A372),'Agenda 2026'!$N$2:$N$376,0)),"")</f>
        <v/>
      </c>
      <c r="D372" s="44" t="str">
        <f t="array" ref="D372">IFERROR(INDEX('Agenda 2026'!C$2:C$376,MATCH(ROWS($A$7:$A372),'Agenda 2026'!$N$2:$N$376,0)),"")</f>
        <v/>
      </c>
      <c r="E372" s="44" t="str">
        <f t="array" ref="E372">IFERROR(INDEX('Agenda 2026'!D$2:D$376,MATCH(ROWS($A$7:$A372),'Agenda 2026'!$N$2:$N$376,0)),"")</f>
        <v/>
      </c>
      <c r="F372" s="45" t="str">
        <f t="array" ref="F372">IFERROR(INDEX('Agenda 2026'!E$2:E$376,MATCH(ROWS($A$7:$A372),'Agenda 2026'!$N$2:$N$376,0)),"")</f>
        <v/>
      </c>
      <c r="G372" s="44" t="str">
        <f t="array" ref="G372">IFERROR(INDEX('Agenda 2026'!F$2:F$376,MATCH(ROWS($A$7:$A372),'Agenda 2026'!$N$2:$N$376,0)),"")</f>
        <v/>
      </c>
      <c r="H372" s="44" t="str">
        <f t="array" ref="H372">IFERROR(INDEX('Agenda 2026'!G$2:G$376,MATCH(ROWS($A$7:$A372),'Agenda 2026'!$N$2:$N$376,0)),"")</f>
        <v/>
      </c>
      <c r="I372" s="46" t="str">
        <f t="array" ref="I372">IFERROR(INDEX('Agenda 2026'!H$2:H$376,MATCH(ROWS($A$7:$A372),'Agenda 2026'!$N$2:$N$376,0)),"")</f>
        <v/>
      </c>
      <c r="J372" s="47"/>
      <c r="K372" s="48" t="str">
        <f t="array" ref="K372">IFERROR(HYPERLINK(INDEX('Agenda 2026'!J$2:J$376,MATCH(ROWS($A$7:$A372),'Agenda 2026'!$N$2:$N$376,0)),"Ver fuente ↗"),"")</f>
        <v/>
      </c>
      <c r="L372" s="49" t="str">
        <f t="array" ref="L372">IFERROR(INDEX('Agenda 2026'!K$2:K$376,MATCH(ROWS($A$7:$A372),'Agenda 2026'!$N$2:$N$376,0)),"")</f>
        <v/>
      </c>
      <c r="M372" s="50" t="str">
        <f t="array" ref="M372">IFERROR(INDEX('Agenda 2026'!O$2:O$376,MATCH(ROWS($A$7:$A372),'Agenda 2026'!$N$2:$N$376,0)),"")</f>
        <v/>
      </c>
    </row>
    <row r="373" spans="1:13" ht="42" customHeight="1" x14ac:dyDescent="0.35">
      <c r="A373" s="42" t="str">
        <f t="array" ref="A373">IFERROR(INDEX('Agenda 2026'!A$2:A$376,MATCH(ROWS($A$7:$A373),'Agenda 2026'!$N$2:$N$376,0)),"")</f>
        <v/>
      </c>
      <c r="B373" s="43" t="str">
        <f t="array" ref="B373">IFERROR(INDEX('Agenda 2026'!P$2:P$376,MATCH(ROWS($A$7:$A373),'Agenda 2026'!$N$2:$N$376,0)),"")</f>
        <v/>
      </c>
      <c r="C373" s="44" t="str">
        <f t="array" ref="C373">IFERROR(INDEX('Agenda 2026'!B$2:B$376,MATCH(ROWS($A$7:$A373),'Agenda 2026'!$N$2:$N$376,0)),"")</f>
        <v/>
      </c>
      <c r="D373" s="44" t="str">
        <f t="array" ref="D373">IFERROR(INDEX('Agenda 2026'!C$2:C$376,MATCH(ROWS($A$7:$A373),'Agenda 2026'!$N$2:$N$376,0)),"")</f>
        <v/>
      </c>
      <c r="E373" s="44" t="str">
        <f t="array" ref="E373">IFERROR(INDEX('Agenda 2026'!D$2:D$376,MATCH(ROWS($A$7:$A373),'Agenda 2026'!$N$2:$N$376,0)),"")</f>
        <v/>
      </c>
      <c r="F373" s="45" t="str">
        <f t="array" ref="F373">IFERROR(INDEX('Agenda 2026'!E$2:E$376,MATCH(ROWS($A$7:$A373),'Agenda 2026'!$N$2:$N$376,0)),"")</f>
        <v/>
      </c>
      <c r="G373" s="44" t="str">
        <f t="array" ref="G373">IFERROR(INDEX('Agenda 2026'!F$2:F$376,MATCH(ROWS($A$7:$A373),'Agenda 2026'!$N$2:$N$376,0)),"")</f>
        <v/>
      </c>
      <c r="H373" s="44" t="str">
        <f t="array" ref="H373">IFERROR(INDEX('Agenda 2026'!G$2:G$376,MATCH(ROWS($A$7:$A373),'Agenda 2026'!$N$2:$N$376,0)),"")</f>
        <v/>
      </c>
      <c r="I373" s="46" t="str">
        <f t="array" ref="I373">IFERROR(INDEX('Agenda 2026'!H$2:H$376,MATCH(ROWS($A$7:$A373),'Agenda 2026'!$N$2:$N$376,0)),"")</f>
        <v/>
      </c>
      <c r="J373" s="47"/>
      <c r="K373" s="48" t="str">
        <f t="array" ref="K373">IFERROR(HYPERLINK(INDEX('Agenda 2026'!J$2:J$376,MATCH(ROWS($A$7:$A373),'Agenda 2026'!$N$2:$N$376,0)),"Ver fuente ↗"),"")</f>
        <v/>
      </c>
      <c r="L373" s="49" t="str">
        <f t="array" ref="L373">IFERROR(INDEX('Agenda 2026'!K$2:K$376,MATCH(ROWS($A$7:$A373),'Agenda 2026'!$N$2:$N$376,0)),"")</f>
        <v/>
      </c>
      <c r="M373" s="50" t="str">
        <f t="array" ref="M373">IFERROR(INDEX('Agenda 2026'!O$2:O$376,MATCH(ROWS($A$7:$A373),'Agenda 2026'!$N$2:$N$376,0)),"")</f>
        <v/>
      </c>
    </row>
    <row r="374" spans="1:13" ht="42" customHeight="1" x14ac:dyDescent="0.35">
      <c r="A374" s="42" t="str">
        <f t="array" ref="A374">IFERROR(INDEX('Agenda 2026'!A$2:A$376,MATCH(ROWS($A$7:$A374),'Agenda 2026'!$N$2:$N$376,0)),"")</f>
        <v/>
      </c>
      <c r="B374" s="43" t="str">
        <f t="array" ref="B374">IFERROR(INDEX('Agenda 2026'!P$2:P$376,MATCH(ROWS($A$7:$A374),'Agenda 2026'!$N$2:$N$376,0)),"")</f>
        <v/>
      </c>
      <c r="C374" s="44" t="str">
        <f t="array" ref="C374">IFERROR(INDEX('Agenda 2026'!B$2:B$376,MATCH(ROWS($A$7:$A374),'Agenda 2026'!$N$2:$N$376,0)),"")</f>
        <v/>
      </c>
      <c r="D374" s="44" t="str">
        <f t="array" ref="D374">IFERROR(INDEX('Agenda 2026'!C$2:C$376,MATCH(ROWS($A$7:$A374),'Agenda 2026'!$N$2:$N$376,0)),"")</f>
        <v/>
      </c>
      <c r="E374" s="44" t="str">
        <f t="array" ref="E374">IFERROR(INDEX('Agenda 2026'!D$2:D$376,MATCH(ROWS($A$7:$A374),'Agenda 2026'!$N$2:$N$376,0)),"")</f>
        <v/>
      </c>
      <c r="F374" s="45" t="str">
        <f t="array" ref="F374">IFERROR(INDEX('Agenda 2026'!E$2:E$376,MATCH(ROWS($A$7:$A374),'Agenda 2026'!$N$2:$N$376,0)),"")</f>
        <v/>
      </c>
      <c r="G374" s="44" t="str">
        <f t="array" ref="G374">IFERROR(INDEX('Agenda 2026'!F$2:F$376,MATCH(ROWS($A$7:$A374),'Agenda 2026'!$N$2:$N$376,0)),"")</f>
        <v/>
      </c>
      <c r="H374" s="44" t="str">
        <f t="array" ref="H374">IFERROR(INDEX('Agenda 2026'!G$2:G$376,MATCH(ROWS($A$7:$A374),'Agenda 2026'!$N$2:$N$376,0)),"")</f>
        <v/>
      </c>
      <c r="I374" s="46" t="str">
        <f t="array" ref="I374">IFERROR(INDEX('Agenda 2026'!H$2:H$376,MATCH(ROWS($A$7:$A374),'Agenda 2026'!$N$2:$N$376,0)),"")</f>
        <v/>
      </c>
      <c r="J374" s="47"/>
      <c r="K374" s="48" t="str">
        <f t="array" ref="K374">IFERROR(HYPERLINK(INDEX('Agenda 2026'!J$2:J$376,MATCH(ROWS($A$7:$A374),'Agenda 2026'!$N$2:$N$376,0)),"Ver fuente ↗"),"")</f>
        <v/>
      </c>
      <c r="L374" s="49" t="str">
        <f t="array" ref="L374">IFERROR(INDEX('Agenda 2026'!K$2:K$376,MATCH(ROWS($A$7:$A374),'Agenda 2026'!$N$2:$N$376,0)),"")</f>
        <v/>
      </c>
      <c r="M374" s="50" t="str">
        <f t="array" ref="M374">IFERROR(INDEX('Agenda 2026'!O$2:O$376,MATCH(ROWS($A$7:$A374),'Agenda 2026'!$N$2:$N$376,0)),"")</f>
        <v/>
      </c>
    </row>
    <row r="375" spans="1:13" ht="42" customHeight="1" x14ac:dyDescent="0.35">
      <c r="A375" s="42" t="str">
        <f t="array" ref="A375">IFERROR(INDEX('Agenda 2026'!A$2:A$376,MATCH(ROWS($A$7:$A375),'Agenda 2026'!$N$2:$N$376,0)),"")</f>
        <v/>
      </c>
      <c r="B375" s="43" t="str">
        <f t="array" ref="B375">IFERROR(INDEX('Agenda 2026'!P$2:P$376,MATCH(ROWS($A$7:$A375),'Agenda 2026'!$N$2:$N$376,0)),"")</f>
        <v/>
      </c>
      <c r="C375" s="44" t="str">
        <f t="array" ref="C375">IFERROR(INDEX('Agenda 2026'!B$2:B$376,MATCH(ROWS($A$7:$A375),'Agenda 2026'!$N$2:$N$376,0)),"")</f>
        <v/>
      </c>
      <c r="D375" s="44" t="str">
        <f t="array" ref="D375">IFERROR(INDEX('Agenda 2026'!C$2:C$376,MATCH(ROWS($A$7:$A375),'Agenda 2026'!$N$2:$N$376,0)),"")</f>
        <v/>
      </c>
      <c r="E375" s="44" t="str">
        <f t="array" ref="E375">IFERROR(INDEX('Agenda 2026'!D$2:D$376,MATCH(ROWS($A$7:$A375),'Agenda 2026'!$N$2:$N$376,0)),"")</f>
        <v/>
      </c>
      <c r="F375" s="45" t="str">
        <f t="array" ref="F375">IFERROR(INDEX('Agenda 2026'!E$2:E$376,MATCH(ROWS($A$7:$A375),'Agenda 2026'!$N$2:$N$376,0)),"")</f>
        <v/>
      </c>
      <c r="G375" s="44" t="str">
        <f t="array" ref="G375">IFERROR(INDEX('Agenda 2026'!F$2:F$376,MATCH(ROWS($A$7:$A375),'Agenda 2026'!$N$2:$N$376,0)),"")</f>
        <v/>
      </c>
      <c r="H375" s="44" t="str">
        <f t="array" ref="H375">IFERROR(INDEX('Agenda 2026'!G$2:G$376,MATCH(ROWS($A$7:$A375),'Agenda 2026'!$N$2:$N$376,0)),"")</f>
        <v/>
      </c>
      <c r="I375" s="46" t="str">
        <f t="array" ref="I375">IFERROR(INDEX('Agenda 2026'!H$2:H$376,MATCH(ROWS($A$7:$A375),'Agenda 2026'!$N$2:$N$376,0)),"")</f>
        <v/>
      </c>
      <c r="J375" s="47"/>
      <c r="K375" s="48" t="str">
        <f t="array" ref="K375">IFERROR(HYPERLINK(INDEX('Agenda 2026'!J$2:J$376,MATCH(ROWS($A$7:$A375),'Agenda 2026'!$N$2:$N$376,0)),"Ver fuente ↗"),"")</f>
        <v/>
      </c>
      <c r="L375" s="49" t="str">
        <f t="array" ref="L375">IFERROR(INDEX('Agenda 2026'!K$2:K$376,MATCH(ROWS($A$7:$A375),'Agenda 2026'!$N$2:$N$376,0)),"")</f>
        <v/>
      </c>
      <c r="M375" s="50" t="str">
        <f t="array" ref="M375">IFERROR(INDEX('Agenda 2026'!O$2:O$376,MATCH(ROWS($A$7:$A375),'Agenda 2026'!$N$2:$N$376,0)),"")</f>
        <v/>
      </c>
    </row>
    <row r="376" spans="1:13" ht="42" customHeight="1" x14ac:dyDescent="0.35">
      <c r="A376" s="42" t="str">
        <f t="array" ref="A376">IFERROR(INDEX('Agenda 2026'!A$2:A$376,MATCH(ROWS($A$7:$A376),'Agenda 2026'!$N$2:$N$376,0)),"")</f>
        <v/>
      </c>
      <c r="B376" s="43" t="str">
        <f t="array" ref="B376">IFERROR(INDEX('Agenda 2026'!P$2:P$376,MATCH(ROWS($A$7:$A376),'Agenda 2026'!$N$2:$N$376,0)),"")</f>
        <v/>
      </c>
      <c r="C376" s="44" t="str">
        <f t="array" ref="C376">IFERROR(INDEX('Agenda 2026'!B$2:B$376,MATCH(ROWS($A$7:$A376),'Agenda 2026'!$N$2:$N$376,0)),"")</f>
        <v/>
      </c>
      <c r="D376" s="44" t="str">
        <f t="array" ref="D376">IFERROR(INDEX('Agenda 2026'!C$2:C$376,MATCH(ROWS($A$7:$A376),'Agenda 2026'!$N$2:$N$376,0)),"")</f>
        <v/>
      </c>
      <c r="E376" s="44" t="str">
        <f t="array" ref="E376">IFERROR(INDEX('Agenda 2026'!D$2:D$376,MATCH(ROWS($A$7:$A376),'Agenda 2026'!$N$2:$N$376,0)),"")</f>
        <v/>
      </c>
      <c r="F376" s="45" t="str">
        <f t="array" ref="F376">IFERROR(INDEX('Agenda 2026'!E$2:E$376,MATCH(ROWS($A$7:$A376),'Agenda 2026'!$N$2:$N$376,0)),"")</f>
        <v/>
      </c>
      <c r="G376" s="44" t="str">
        <f t="array" ref="G376">IFERROR(INDEX('Agenda 2026'!F$2:F$376,MATCH(ROWS($A$7:$A376),'Agenda 2026'!$N$2:$N$376,0)),"")</f>
        <v/>
      </c>
      <c r="H376" s="44" t="str">
        <f t="array" ref="H376">IFERROR(INDEX('Agenda 2026'!G$2:G$376,MATCH(ROWS($A$7:$A376),'Agenda 2026'!$N$2:$N$376,0)),"")</f>
        <v/>
      </c>
      <c r="I376" s="46" t="str">
        <f t="array" ref="I376">IFERROR(INDEX('Agenda 2026'!H$2:H$376,MATCH(ROWS($A$7:$A376),'Agenda 2026'!$N$2:$N$376,0)),"")</f>
        <v/>
      </c>
      <c r="J376" s="47"/>
      <c r="K376" s="48" t="str">
        <f t="array" ref="K376">IFERROR(HYPERLINK(INDEX('Agenda 2026'!J$2:J$376,MATCH(ROWS($A$7:$A376),'Agenda 2026'!$N$2:$N$376,0)),"Ver fuente ↗"),"")</f>
        <v/>
      </c>
      <c r="L376" s="49" t="str">
        <f t="array" ref="L376">IFERROR(INDEX('Agenda 2026'!K$2:K$376,MATCH(ROWS($A$7:$A376),'Agenda 2026'!$N$2:$N$376,0)),"")</f>
        <v/>
      </c>
      <c r="M376" s="50" t="str">
        <f t="array" ref="M376">IFERROR(INDEX('Agenda 2026'!O$2:O$376,MATCH(ROWS($A$7:$A376),'Agenda 2026'!$N$2:$N$376,0)),"")</f>
        <v/>
      </c>
    </row>
    <row r="377" spans="1:13" ht="42" customHeight="1" x14ac:dyDescent="0.35">
      <c r="A377" s="42" t="str">
        <f t="array" ref="A377">IFERROR(INDEX('Agenda 2026'!A$2:A$376,MATCH(ROWS($A$7:$A377),'Agenda 2026'!$N$2:$N$376,0)),"")</f>
        <v/>
      </c>
      <c r="B377" s="43" t="str">
        <f t="array" ref="B377">IFERROR(INDEX('Agenda 2026'!P$2:P$376,MATCH(ROWS($A$7:$A377),'Agenda 2026'!$N$2:$N$376,0)),"")</f>
        <v/>
      </c>
      <c r="C377" s="44" t="str">
        <f t="array" ref="C377">IFERROR(INDEX('Agenda 2026'!B$2:B$376,MATCH(ROWS($A$7:$A377),'Agenda 2026'!$N$2:$N$376,0)),"")</f>
        <v/>
      </c>
      <c r="D377" s="44" t="str">
        <f t="array" ref="D377">IFERROR(INDEX('Agenda 2026'!C$2:C$376,MATCH(ROWS($A$7:$A377),'Agenda 2026'!$N$2:$N$376,0)),"")</f>
        <v/>
      </c>
      <c r="E377" s="44" t="str">
        <f t="array" ref="E377">IFERROR(INDEX('Agenda 2026'!D$2:D$376,MATCH(ROWS($A$7:$A377),'Agenda 2026'!$N$2:$N$376,0)),"")</f>
        <v/>
      </c>
      <c r="F377" s="45" t="str">
        <f t="array" ref="F377">IFERROR(INDEX('Agenda 2026'!E$2:E$376,MATCH(ROWS($A$7:$A377),'Agenda 2026'!$N$2:$N$376,0)),"")</f>
        <v/>
      </c>
      <c r="G377" s="44" t="str">
        <f t="array" ref="G377">IFERROR(INDEX('Agenda 2026'!F$2:F$376,MATCH(ROWS($A$7:$A377),'Agenda 2026'!$N$2:$N$376,0)),"")</f>
        <v/>
      </c>
      <c r="H377" s="44" t="str">
        <f t="array" ref="H377">IFERROR(INDEX('Agenda 2026'!G$2:G$376,MATCH(ROWS($A$7:$A377),'Agenda 2026'!$N$2:$N$376,0)),"")</f>
        <v/>
      </c>
      <c r="I377" s="46" t="str">
        <f t="array" ref="I377">IFERROR(INDEX('Agenda 2026'!H$2:H$376,MATCH(ROWS($A$7:$A377),'Agenda 2026'!$N$2:$N$376,0)),"")</f>
        <v/>
      </c>
      <c r="J377" s="47"/>
      <c r="K377" s="48" t="str">
        <f t="array" ref="K377">IFERROR(HYPERLINK(INDEX('Agenda 2026'!J$2:J$376,MATCH(ROWS($A$7:$A377),'Agenda 2026'!$N$2:$N$376,0)),"Ver fuente ↗"),"")</f>
        <v/>
      </c>
      <c r="L377" s="49" t="str">
        <f t="array" ref="L377">IFERROR(INDEX('Agenda 2026'!K$2:K$376,MATCH(ROWS($A$7:$A377),'Agenda 2026'!$N$2:$N$376,0)),"")</f>
        <v/>
      </c>
      <c r="M377" s="50" t="str">
        <f t="array" ref="M377">IFERROR(INDEX('Agenda 2026'!O$2:O$376,MATCH(ROWS($A$7:$A377),'Agenda 2026'!$N$2:$N$376,0)),"")</f>
        <v/>
      </c>
    </row>
    <row r="378" spans="1:13" ht="42" customHeight="1" x14ac:dyDescent="0.35">
      <c r="A378" s="42" t="str">
        <f t="array" ref="A378">IFERROR(INDEX('Agenda 2026'!A$2:A$376,MATCH(ROWS($A$7:$A378),'Agenda 2026'!$N$2:$N$376,0)),"")</f>
        <v/>
      </c>
      <c r="B378" s="43" t="str">
        <f t="array" ref="B378">IFERROR(INDEX('Agenda 2026'!P$2:P$376,MATCH(ROWS($A$7:$A378),'Agenda 2026'!$N$2:$N$376,0)),"")</f>
        <v/>
      </c>
      <c r="C378" s="44" t="str">
        <f t="array" ref="C378">IFERROR(INDEX('Agenda 2026'!B$2:B$376,MATCH(ROWS($A$7:$A378),'Agenda 2026'!$N$2:$N$376,0)),"")</f>
        <v/>
      </c>
      <c r="D378" s="44" t="str">
        <f t="array" ref="D378">IFERROR(INDEX('Agenda 2026'!C$2:C$376,MATCH(ROWS($A$7:$A378),'Agenda 2026'!$N$2:$N$376,0)),"")</f>
        <v/>
      </c>
      <c r="E378" s="44" t="str">
        <f t="array" ref="E378">IFERROR(INDEX('Agenda 2026'!D$2:D$376,MATCH(ROWS($A$7:$A378),'Agenda 2026'!$N$2:$N$376,0)),"")</f>
        <v/>
      </c>
      <c r="F378" s="45" t="str">
        <f t="array" ref="F378">IFERROR(INDEX('Agenda 2026'!E$2:E$376,MATCH(ROWS($A$7:$A378),'Agenda 2026'!$N$2:$N$376,0)),"")</f>
        <v/>
      </c>
      <c r="G378" s="44" t="str">
        <f t="array" ref="G378">IFERROR(INDEX('Agenda 2026'!F$2:F$376,MATCH(ROWS($A$7:$A378),'Agenda 2026'!$N$2:$N$376,0)),"")</f>
        <v/>
      </c>
      <c r="H378" s="44" t="str">
        <f t="array" ref="H378">IFERROR(INDEX('Agenda 2026'!G$2:G$376,MATCH(ROWS($A$7:$A378),'Agenda 2026'!$N$2:$N$376,0)),"")</f>
        <v/>
      </c>
      <c r="I378" s="46" t="str">
        <f t="array" ref="I378">IFERROR(INDEX('Agenda 2026'!H$2:H$376,MATCH(ROWS($A$7:$A378),'Agenda 2026'!$N$2:$N$376,0)),"")</f>
        <v/>
      </c>
      <c r="J378" s="47"/>
      <c r="K378" s="48" t="str">
        <f t="array" ref="K378">IFERROR(HYPERLINK(INDEX('Agenda 2026'!J$2:J$376,MATCH(ROWS($A$7:$A378),'Agenda 2026'!$N$2:$N$376,0)),"Ver fuente ↗"),"")</f>
        <v/>
      </c>
      <c r="L378" s="49" t="str">
        <f t="array" ref="L378">IFERROR(INDEX('Agenda 2026'!K$2:K$376,MATCH(ROWS($A$7:$A378),'Agenda 2026'!$N$2:$N$376,0)),"")</f>
        <v/>
      </c>
      <c r="M378" s="50" t="str">
        <f t="array" ref="M378">IFERROR(INDEX('Agenda 2026'!O$2:O$376,MATCH(ROWS($A$7:$A378),'Agenda 2026'!$N$2:$N$376,0)),"")</f>
        <v/>
      </c>
    </row>
    <row r="379" spans="1:13" ht="42" customHeight="1" x14ac:dyDescent="0.35">
      <c r="A379" s="42" t="str">
        <f t="array" ref="A379">IFERROR(INDEX('Agenda 2026'!A$2:A$376,MATCH(ROWS($A$7:$A379),'Agenda 2026'!$N$2:$N$376,0)),"")</f>
        <v/>
      </c>
      <c r="B379" s="43" t="str">
        <f t="array" ref="B379">IFERROR(INDEX('Agenda 2026'!P$2:P$376,MATCH(ROWS($A$7:$A379),'Agenda 2026'!$N$2:$N$376,0)),"")</f>
        <v/>
      </c>
      <c r="C379" s="44" t="str">
        <f t="array" ref="C379">IFERROR(INDEX('Agenda 2026'!B$2:B$376,MATCH(ROWS($A$7:$A379),'Agenda 2026'!$N$2:$N$376,0)),"")</f>
        <v/>
      </c>
      <c r="D379" s="44" t="str">
        <f t="array" ref="D379">IFERROR(INDEX('Agenda 2026'!C$2:C$376,MATCH(ROWS($A$7:$A379),'Agenda 2026'!$N$2:$N$376,0)),"")</f>
        <v/>
      </c>
      <c r="E379" s="44" t="str">
        <f t="array" ref="E379">IFERROR(INDEX('Agenda 2026'!D$2:D$376,MATCH(ROWS($A$7:$A379),'Agenda 2026'!$N$2:$N$376,0)),"")</f>
        <v/>
      </c>
      <c r="F379" s="45" t="str">
        <f t="array" ref="F379">IFERROR(INDEX('Agenda 2026'!E$2:E$376,MATCH(ROWS($A$7:$A379),'Agenda 2026'!$N$2:$N$376,0)),"")</f>
        <v/>
      </c>
      <c r="G379" s="44" t="str">
        <f t="array" ref="G379">IFERROR(INDEX('Agenda 2026'!F$2:F$376,MATCH(ROWS($A$7:$A379),'Agenda 2026'!$N$2:$N$376,0)),"")</f>
        <v/>
      </c>
      <c r="H379" s="44" t="str">
        <f t="array" ref="H379">IFERROR(INDEX('Agenda 2026'!G$2:G$376,MATCH(ROWS($A$7:$A379),'Agenda 2026'!$N$2:$N$376,0)),"")</f>
        <v/>
      </c>
      <c r="I379" s="46" t="str">
        <f t="array" ref="I379">IFERROR(INDEX('Agenda 2026'!H$2:H$376,MATCH(ROWS($A$7:$A379),'Agenda 2026'!$N$2:$N$376,0)),"")</f>
        <v/>
      </c>
      <c r="J379" s="47"/>
      <c r="K379" s="48" t="str">
        <f t="array" ref="K379">IFERROR(HYPERLINK(INDEX('Agenda 2026'!J$2:J$376,MATCH(ROWS($A$7:$A379),'Agenda 2026'!$N$2:$N$376,0)),"Ver fuente ↗"),"")</f>
        <v/>
      </c>
      <c r="L379" s="49" t="str">
        <f t="array" ref="L379">IFERROR(INDEX('Agenda 2026'!K$2:K$376,MATCH(ROWS($A$7:$A379),'Agenda 2026'!$N$2:$N$376,0)),"")</f>
        <v/>
      </c>
      <c r="M379" s="50" t="str">
        <f t="array" ref="M379">IFERROR(INDEX('Agenda 2026'!O$2:O$376,MATCH(ROWS($A$7:$A379),'Agenda 2026'!$N$2:$N$376,0)),"")</f>
        <v/>
      </c>
    </row>
    <row r="380" spans="1:13" ht="42" customHeight="1" x14ac:dyDescent="0.35">
      <c r="A380" s="42" t="str">
        <f t="array" ref="A380">IFERROR(INDEX('Agenda 2026'!A$2:A$376,MATCH(ROWS($A$7:$A380),'Agenda 2026'!$N$2:$N$376,0)),"")</f>
        <v/>
      </c>
      <c r="B380" s="43" t="str">
        <f t="array" ref="B380">IFERROR(INDEX('Agenda 2026'!P$2:P$376,MATCH(ROWS($A$7:$A380),'Agenda 2026'!$N$2:$N$376,0)),"")</f>
        <v/>
      </c>
      <c r="C380" s="44" t="str">
        <f t="array" ref="C380">IFERROR(INDEX('Agenda 2026'!B$2:B$376,MATCH(ROWS($A$7:$A380),'Agenda 2026'!$N$2:$N$376,0)),"")</f>
        <v/>
      </c>
      <c r="D380" s="44" t="str">
        <f t="array" ref="D380">IFERROR(INDEX('Agenda 2026'!C$2:C$376,MATCH(ROWS($A$7:$A380),'Agenda 2026'!$N$2:$N$376,0)),"")</f>
        <v/>
      </c>
      <c r="E380" s="44" t="str">
        <f t="array" ref="E380">IFERROR(INDEX('Agenda 2026'!D$2:D$376,MATCH(ROWS($A$7:$A380),'Agenda 2026'!$N$2:$N$376,0)),"")</f>
        <v/>
      </c>
      <c r="F380" s="45" t="str">
        <f t="array" ref="F380">IFERROR(INDEX('Agenda 2026'!E$2:E$376,MATCH(ROWS($A$7:$A380),'Agenda 2026'!$N$2:$N$376,0)),"")</f>
        <v/>
      </c>
      <c r="G380" s="44" t="str">
        <f t="array" ref="G380">IFERROR(INDEX('Agenda 2026'!F$2:F$376,MATCH(ROWS($A$7:$A380),'Agenda 2026'!$N$2:$N$376,0)),"")</f>
        <v/>
      </c>
      <c r="H380" s="44" t="str">
        <f t="array" ref="H380">IFERROR(INDEX('Agenda 2026'!G$2:G$376,MATCH(ROWS($A$7:$A380),'Agenda 2026'!$N$2:$N$376,0)),"")</f>
        <v/>
      </c>
      <c r="I380" s="46" t="str">
        <f t="array" ref="I380">IFERROR(INDEX('Agenda 2026'!H$2:H$376,MATCH(ROWS($A$7:$A380),'Agenda 2026'!$N$2:$N$376,0)),"")</f>
        <v/>
      </c>
      <c r="J380" s="47"/>
      <c r="K380" s="48" t="str">
        <f t="array" ref="K380">IFERROR(HYPERLINK(INDEX('Agenda 2026'!J$2:J$376,MATCH(ROWS($A$7:$A380),'Agenda 2026'!$N$2:$N$376,0)),"Ver fuente ↗"),"")</f>
        <v/>
      </c>
      <c r="L380" s="49" t="str">
        <f t="array" ref="L380">IFERROR(INDEX('Agenda 2026'!K$2:K$376,MATCH(ROWS($A$7:$A380),'Agenda 2026'!$N$2:$N$376,0)),"")</f>
        <v/>
      </c>
      <c r="M380" s="50" t="str">
        <f t="array" ref="M380">IFERROR(INDEX('Agenda 2026'!O$2:O$376,MATCH(ROWS($A$7:$A380),'Agenda 2026'!$N$2:$N$376,0)),"")</f>
        <v/>
      </c>
    </row>
    <row r="381" spans="1:13" ht="42" customHeight="1" x14ac:dyDescent="0.35">
      <c r="A381" s="42" t="str">
        <f t="array" ref="A381">IFERROR(INDEX('Agenda 2026'!A$2:A$376,MATCH(ROWS($A$7:$A381),'Agenda 2026'!$N$2:$N$376,0)),"")</f>
        <v/>
      </c>
      <c r="B381" s="43" t="str">
        <f t="array" ref="B381">IFERROR(INDEX('Agenda 2026'!P$2:P$376,MATCH(ROWS($A$7:$A381),'Agenda 2026'!$N$2:$N$376,0)),"")</f>
        <v/>
      </c>
      <c r="C381" s="44" t="str">
        <f t="array" ref="C381">IFERROR(INDEX('Agenda 2026'!B$2:B$376,MATCH(ROWS($A$7:$A381),'Agenda 2026'!$N$2:$N$376,0)),"")</f>
        <v/>
      </c>
      <c r="D381" s="44" t="str">
        <f t="array" ref="D381">IFERROR(INDEX('Agenda 2026'!C$2:C$376,MATCH(ROWS($A$7:$A381),'Agenda 2026'!$N$2:$N$376,0)),"")</f>
        <v/>
      </c>
      <c r="E381" s="44" t="str">
        <f t="array" ref="E381">IFERROR(INDEX('Agenda 2026'!D$2:D$376,MATCH(ROWS($A$7:$A381),'Agenda 2026'!$N$2:$N$376,0)),"")</f>
        <v/>
      </c>
      <c r="F381" s="45" t="str">
        <f t="array" ref="F381">IFERROR(INDEX('Agenda 2026'!E$2:E$376,MATCH(ROWS($A$7:$A381),'Agenda 2026'!$N$2:$N$376,0)),"")</f>
        <v/>
      </c>
      <c r="G381" s="44" t="str">
        <f t="array" ref="G381">IFERROR(INDEX('Agenda 2026'!F$2:F$376,MATCH(ROWS($A$7:$A381),'Agenda 2026'!$N$2:$N$376,0)),"")</f>
        <v/>
      </c>
      <c r="H381" s="44" t="str">
        <f t="array" ref="H381">IFERROR(INDEX('Agenda 2026'!G$2:G$376,MATCH(ROWS($A$7:$A381),'Agenda 2026'!$N$2:$N$376,0)),"")</f>
        <v/>
      </c>
      <c r="I381" s="46" t="str">
        <f t="array" ref="I381">IFERROR(INDEX('Agenda 2026'!H$2:H$376,MATCH(ROWS($A$7:$A381),'Agenda 2026'!$N$2:$N$376,0)),"")</f>
        <v/>
      </c>
      <c r="J381" s="47"/>
      <c r="K381" s="48" t="str">
        <f t="array" ref="K381">IFERROR(HYPERLINK(INDEX('Agenda 2026'!J$2:J$376,MATCH(ROWS($A$7:$A381),'Agenda 2026'!$N$2:$N$376,0)),"Ver fuente ↗"),"")</f>
        <v/>
      </c>
      <c r="L381" s="49" t="str">
        <f t="array" ref="L381">IFERROR(INDEX('Agenda 2026'!K$2:K$376,MATCH(ROWS($A$7:$A381),'Agenda 2026'!$N$2:$N$376,0)),"")</f>
        <v/>
      </c>
      <c r="M381" s="50" t="str">
        <f t="array" ref="M381">IFERROR(INDEX('Agenda 2026'!O$2:O$376,MATCH(ROWS($A$7:$A381),'Agenda 2026'!$N$2:$N$376,0)),"")</f>
        <v/>
      </c>
    </row>
    <row r="382" spans="1:13" ht="13.5" customHeight="1" x14ac:dyDescent="0.35">
      <c r="A382" s="51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17"/>
      <c r="M382" s="17"/>
    </row>
    <row r="383" spans="1:13" ht="13.5" customHeight="1" x14ac:dyDescent="0.3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  <row r="384" spans="1:13" ht="13.5" customHeight="1" x14ac:dyDescent="0.3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</row>
    <row r="385" spans="1:13" ht="13.5" customHeight="1" x14ac:dyDescent="0.3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</row>
    <row r="386" spans="1:13" ht="13.5" customHeight="1" x14ac:dyDescent="0.3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</row>
    <row r="387" spans="1:13" ht="13.5" customHeight="1" x14ac:dyDescent="0.3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</row>
    <row r="388" spans="1:13" ht="13.5" customHeight="1" x14ac:dyDescent="0.3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</row>
    <row r="389" spans="1:13" ht="13.5" customHeight="1" x14ac:dyDescent="0.3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</row>
    <row r="390" spans="1:13" ht="13.5" customHeight="1" x14ac:dyDescent="0.3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</row>
    <row r="391" spans="1:13" ht="13.5" customHeight="1" x14ac:dyDescent="0.3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</row>
    <row r="392" spans="1:13" ht="13.5" customHeight="1" x14ac:dyDescent="0.3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</row>
    <row r="393" spans="1:13" ht="13.5" customHeight="1" x14ac:dyDescent="0.3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</row>
    <row r="394" spans="1:13" ht="13.5" customHeight="1" x14ac:dyDescent="0.3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</row>
    <row r="395" spans="1:13" ht="13.5" customHeight="1" x14ac:dyDescent="0.3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</row>
    <row r="396" spans="1:13" ht="13.5" customHeight="1" x14ac:dyDescent="0.3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</row>
    <row r="397" spans="1:13" ht="13.5" customHeight="1" x14ac:dyDescent="0.3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</row>
    <row r="398" spans="1:13" ht="13.5" customHeight="1" x14ac:dyDescent="0.3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</row>
    <row r="399" spans="1:13" ht="13.5" customHeight="1" x14ac:dyDescent="0.3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</row>
    <row r="400" spans="1:13" ht="13.5" customHeight="1" x14ac:dyDescent="0.3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</row>
    <row r="401" spans="1:13" ht="13.5" customHeight="1" x14ac:dyDescent="0.3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</row>
    <row r="402" spans="1:13" ht="13.5" customHeight="1" x14ac:dyDescent="0.3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</row>
    <row r="403" spans="1:13" ht="13.5" customHeight="1" x14ac:dyDescent="0.3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</row>
    <row r="404" spans="1:13" ht="13.5" customHeight="1" x14ac:dyDescent="0.3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</row>
    <row r="405" spans="1:13" ht="13.5" customHeight="1" x14ac:dyDescent="0.3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</row>
    <row r="406" spans="1:13" ht="13.5" customHeight="1" x14ac:dyDescent="0.3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</row>
    <row r="407" spans="1:13" ht="13.5" customHeight="1" x14ac:dyDescent="0.3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</row>
    <row r="408" spans="1:13" ht="13.5" customHeight="1" x14ac:dyDescent="0.3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</row>
    <row r="409" spans="1:13" ht="13.5" customHeight="1" x14ac:dyDescent="0.3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</row>
    <row r="410" spans="1:13" ht="13.5" customHeight="1" x14ac:dyDescent="0.3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</row>
    <row r="411" spans="1:13" ht="13.5" customHeight="1" x14ac:dyDescent="0.3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</row>
    <row r="412" spans="1:13" ht="13.5" customHeight="1" x14ac:dyDescent="0.3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</row>
    <row r="413" spans="1:13" ht="13.5" customHeight="1" x14ac:dyDescent="0.3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</row>
    <row r="414" spans="1:13" ht="13.5" customHeight="1" x14ac:dyDescent="0.3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</row>
    <row r="415" spans="1:13" ht="13.5" customHeight="1" x14ac:dyDescent="0.3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</row>
    <row r="416" spans="1:13" ht="13.5" customHeight="1" x14ac:dyDescent="0.3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</row>
    <row r="417" spans="1:13" ht="13.5" customHeight="1" x14ac:dyDescent="0.3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</row>
    <row r="418" spans="1:13" ht="13.5" customHeight="1" x14ac:dyDescent="0.3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</row>
    <row r="419" spans="1:13" ht="13.5" customHeight="1" x14ac:dyDescent="0.3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</row>
    <row r="420" spans="1:13" ht="13.5" customHeight="1" x14ac:dyDescent="0.3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</row>
    <row r="421" spans="1:13" ht="13.5" customHeight="1" x14ac:dyDescent="0.3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</row>
    <row r="422" spans="1:13" ht="13.5" customHeight="1" x14ac:dyDescent="0.3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</row>
    <row r="423" spans="1:13" ht="13.5" customHeight="1" x14ac:dyDescent="0.3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</row>
    <row r="424" spans="1:13" ht="13.5" customHeight="1" x14ac:dyDescent="0.3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</row>
    <row r="425" spans="1:13" ht="13.5" customHeight="1" x14ac:dyDescent="0.3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</row>
    <row r="426" spans="1:13" ht="13.5" customHeight="1" x14ac:dyDescent="0.3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</row>
    <row r="427" spans="1:13" ht="13.5" customHeight="1" x14ac:dyDescent="0.3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</row>
    <row r="428" spans="1:13" ht="13.5" customHeight="1" x14ac:dyDescent="0.3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</row>
    <row r="429" spans="1:13" ht="13.5" customHeight="1" x14ac:dyDescent="0.3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</row>
    <row r="430" spans="1:13" ht="13.5" customHeight="1" x14ac:dyDescent="0.3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</row>
    <row r="431" spans="1:13" ht="13.5" customHeight="1" x14ac:dyDescent="0.3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</row>
    <row r="432" spans="1:13" ht="13.5" customHeight="1" x14ac:dyDescent="0.3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</row>
    <row r="433" spans="1:13" ht="13.5" customHeight="1" x14ac:dyDescent="0.3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</row>
    <row r="434" spans="1:13" ht="13.5" customHeight="1" x14ac:dyDescent="0.3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</row>
    <row r="435" spans="1:13" ht="13.5" customHeight="1" x14ac:dyDescent="0.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</row>
    <row r="436" spans="1:13" ht="13.5" customHeight="1" x14ac:dyDescent="0.3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</row>
    <row r="437" spans="1:13" ht="13.5" customHeight="1" x14ac:dyDescent="0.3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</row>
    <row r="438" spans="1:13" ht="13.5" customHeight="1" x14ac:dyDescent="0.3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</row>
    <row r="439" spans="1:13" ht="13.5" customHeight="1" x14ac:dyDescent="0.3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</row>
    <row r="440" spans="1:13" ht="13.5" customHeight="1" x14ac:dyDescent="0.3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</row>
    <row r="441" spans="1:13" ht="13.5" customHeight="1" x14ac:dyDescent="0.3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</row>
    <row r="442" spans="1:13" ht="13.5" customHeight="1" x14ac:dyDescent="0.3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</row>
    <row r="443" spans="1:13" ht="13.5" customHeight="1" x14ac:dyDescent="0.3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</row>
    <row r="444" spans="1:13" ht="13.5" customHeight="1" x14ac:dyDescent="0.3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</row>
    <row r="445" spans="1:13" ht="13.5" customHeight="1" x14ac:dyDescent="0.3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</row>
    <row r="446" spans="1:13" ht="13.5" customHeight="1" x14ac:dyDescent="0.3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</row>
    <row r="447" spans="1:13" ht="13.5" customHeight="1" x14ac:dyDescent="0.3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</row>
    <row r="448" spans="1:13" ht="13.5" customHeight="1" x14ac:dyDescent="0.3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</row>
    <row r="449" spans="1:13" ht="13.5" customHeight="1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</row>
    <row r="450" spans="1:13" ht="13.5" customHeight="1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</row>
    <row r="451" spans="1:13" ht="13.5" customHeight="1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</row>
    <row r="452" spans="1:13" ht="13.5" customHeight="1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</row>
    <row r="453" spans="1:13" ht="13.5" customHeight="1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</row>
    <row r="454" spans="1:13" ht="13.5" customHeight="1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</row>
    <row r="455" spans="1:13" ht="13.5" customHeight="1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</row>
    <row r="456" spans="1:13" ht="13.5" customHeight="1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</row>
    <row r="457" spans="1:13" ht="13.5" customHeight="1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</row>
    <row r="458" spans="1:13" ht="13.5" customHeight="1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</row>
    <row r="459" spans="1:13" ht="13.5" customHeight="1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</row>
    <row r="460" spans="1:13" ht="13.5" customHeight="1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</row>
    <row r="461" spans="1:13" ht="13.5" customHeight="1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</row>
    <row r="462" spans="1:13" ht="13.5" customHeight="1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</row>
    <row r="463" spans="1:13" ht="13.5" customHeight="1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</row>
    <row r="464" spans="1:13" ht="13.5" customHeight="1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</row>
    <row r="465" spans="1:13" ht="13.5" customHeight="1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</row>
    <row r="466" spans="1:13" ht="13.5" customHeight="1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</row>
    <row r="467" spans="1:13" ht="13.5" customHeight="1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</row>
    <row r="468" spans="1:13" ht="13.5" customHeight="1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</row>
    <row r="469" spans="1:13" ht="13.5" customHeight="1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</row>
    <row r="470" spans="1:13" ht="13.5" customHeight="1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</row>
    <row r="471" spans="1:13" ht="13.5" customHeight="1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</row>
    <row r="472" spans="1:13" ht="13.5" customHeight="1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</row>
    <row r="473" spans="1:13" ht="13.5" customHeight="1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</row>
    <row r="474" spans="1:13" ht="13.5" customHeight="1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</row>
    <row r="475" spans="1:13" ht="13.5" customHeight="1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</row>
    <row r="476" spans="1:13" ht="13.5" customHeight="1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</row>
    <row r="477" spans="1:13" ht="13.5" customHeight="1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</row>
    <row r="478" spans="1:13" ht="13.5" customHeight="1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</row>
    <row r="479" spans="1:13" ht="13.5" customHeight="1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</row>
    <row r="480" spans="1:13" ht="13.5" customHeight="1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</row>
    <row r="481" spans="1:13" ht="13.5" customHeight="1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</row>
    <row r="482" spans="1:13" ht="13.5" customHeight="1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</row>
    <row r="483" spans="1:13" ht="13.5" customHeight="1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</row>
    <row r="484" spans="1:13" ht="13.5" customHeight="1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</row>
    <row r="485" spans="1:13" ht="13.5" customHeight="1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</row>
    <row r="486" spans="1:13" ht="13.5" customHeight="1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</row>
    <row r="487" spans="1:13" ht="13.5" customHeight="1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</row>
    <row r="488" spans="1:13" ht="13.5" customHeight="1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</row>
    <row r="489" spans="1:13" ht="13.5" customHeight="1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</row>
    <row r="490" spans="1:13" ht="13.5" customHeight="1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</row>
    <row r="491" spans="1:13" ht="13.5" customHeight="1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</row>
    <row r="492" spans="1:13" ht="13.5" customHeight="1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</row>
    <row r="493" spans="1:13" ht="13.5" customHeight="1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</row>
    <row r="494" spans="1:13" ht="13.5" customHeight="1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</row>
    <row r="495" spans="1:13" ht="13.5" customHeight="1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</row>
    <row r="496" spans="1:13" ht="13.5" customHeight="1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</row>
    <row r="497" spans="1:13" ht="13.5" customHeight="1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</row>
    <row r="498" spans="1:13" ht="13.5" customHeight="1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</row>
    <row r="499" spans="1:13" ht="13.5" customHeight="1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</row>
    <row r="500" spans="1:13" ht="13.5" customHeight="1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</row>
    <row r="501" spans="1:13" ht="13.5" customHeight="1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</row>
    <row r="502" spans="1:13" ht="13.5" customHeight="1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</row>
    <row r="503" spans="1:13" ht="13.5" customHeight="1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</row>
    <row r="504" spans="1:13" ht="13.5" customHeight="1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</row>
    <row r="505" spans="1:13" ht="13.5" customHeight="1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</row>
    <row r="506" spans="1:13" ht="13.5" customHeight="1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</row>
    <row r="507" spans="1:13" ht="13.5" customHeight="1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</row>
    <row r="508" spans="1:13" ht="13.5" customHeight="1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</row>
    <row r="509" spans="1:13" ht="13.5" customHeight="1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</row>
    <row r="510" spans="1:13" ht="13.5" customHeight="1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</row>
    <row r="511" spans="1:13" ht="13.5" customHeight="1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</row>
    <row r="512" spans="1:13" ht="13.5" customHeight="1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</row>
    <row r="513" spans="1:13" ht="13.5" customHeight="1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</row>
    <row r="514" spans="1:13" ht="13.5" customHeight="1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</row>
    <row r="515" spans="1:13" ht="13.5" customHeight="1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</row>
    <row r="516" spans="1:13" ht="13.5" customHeight="1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</row>
    <row r="517" spans="1:13" ht="13.5" customHeight="1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3" ht="13.5" customHeight="1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</row>
    <row r="519" spans="1:13" ht="13.5" customHeight="1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</row>
    <row r="520" spans="1:13" ht="13.5" customHeight="1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</row>
    <row r="521" spans="1:13" ht="13.5" customHeight="1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</row>
    <row r="522" spans="1:13" ht="13.5" customHeight="1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</row>
    <row r="523" spans="1:13" ht="13.5" customHeight="1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</row>
    <row r="524" spans="1:13" ht="13.5" customHeight="1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</row>
    <row r="525" spans="1:13" ht="13.5" customHeight="1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</row>
    <row r="526" spans="1:13" ht="13.5" customHeight="1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</row>
    <row r="527" spans="1:13" ht="13.5" customHeight="1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</row>
    <row r="528" spans="1:13" ht="13.5" customHeight="1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</row>
    <row r="529" spans="1:13" ht="13.5" customHeight="1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</row>
    <row r="530" spans="1:13" ht="13.5" customHeight="1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</row>
    <row r="531" spans="1:13" ht="13.5" customHeight="1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</row>
    <row r="532" spans="1:13" ht="13.5" customHeight="1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</row>
    <row r="533" spans="1:13" ht="13.5" customHeight="1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</row>
    <row r="534" spans="1:13" ht="13.5" customHeight="1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</row>
    <row r="535" spans="1:13" ht="13.5" customHeight="1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</row>
    <row r="536" spans="1:13" ht="13.5" customHeight="1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</row>
    <row r="537" spans="1:13" ht="13.5" customHeight="1" x14ac:dyDescent="0.3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</row>
    <row r="538" spans="1:13" ht="13.5" customHeight="1" x14ac:dyDescent="0.3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</row>
    <row r="539" spans="1:13" ht="13.5" customHeight="1" x14ac:dyDescent="0.3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</row>
    <row r="540" spans="1:13" ht="13.5" customHeight="1" x14ac:dyDescent="0.3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</row>
    <row r="541" spans="1:13" ht="13.5" customHeight="1" x14ac:dyDescent="0.3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</row>
    <row r="542" spans="1:13" ht="13.5" customHeight="1" x14ac:dyDescent="0.3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</row>
    <row r="543" spans="1:13" ht="13.5" customHeight="1" x14ac:dyDescent="0.3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</row>
    <row r="544" spans="1:13" ht="13.5" customHeight="1" x14ac:dyDescent="0.3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</row>
    <row r="545" spans="1:13" ht="13.5" customHeight="1" x14ac:dyDescent="0.3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</row>
    <row r="546" spans="1:13" ht="13.5" customHeight="1" x14ac:dyDescent="0.3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</row>
    <row r="547" spans="1:13" ht="13.5" customHeight="1" x14ac:dyDescent="0.3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</row>
    <row r="548" spans="1:13" ht="13.5" customHeight="1" x14ac:dyDescent="0.3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</row>
    <row r="549" spans="1:13" ht="13.5" customHeight="1" x14ac:dyDescent="0.3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</row>
    <row r="550" spans="1:13" ht="13.5" customHeight="1" x14ac:dyDescent="0.3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</row>
    <row r="551" spans="1:13" ht="13.5" customHeight="1" x14ac:dyDescent="0.3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</row>
    <row r="552" spans="1:13" ht="13.5" customHeight="1" x14ac:dyDescent="0.3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</row>
    <row r="553" spans="1:13" ht="13.5" customHeight="1" x14ac:dyDescent="0.3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</row>
    <row r="554" spans="1:13" ht="13.5" customHeight="1" x14ac:dyDescent="0.3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</row>
    <row r="555" spans="1:13" ht="13.5" customHeight="1" x14ac:dyDescent="0.3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</row>
    <row r="556" spans="1:13" ht="13.5" customHeight="1" x14ac:dyDescent="0.3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</row>
    <row r="557" spans="1:13" ht="13.5" customHeight="1" x14ac:dyDescent="0.3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</row>
    <row r="558" spans="1:13" ht="13.5" customHeight="1" x14ac:dyDescent="0.3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</row>
    <row r="559" spans="1:13" ht="13.5" customHeight="1" x14ac:dyDescent="0.3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</row>
    <row r="560" spans="1:13" ht="13.5" customHeight="1" x14ac:dyDescent="0.3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</row>
    <row r="561" spans="1:13" ht="13.5" customHeight="1" x14ac:dyDescent="0.3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</row>
    <row r="562" spans="1:13" ht="13.5" customHeight="1" x14ac:dyDescent="0.3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</row>
    <row r="563" spans="1:13" ht="13.5" customHeight="1" x14ac:dyDescent="0.3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</row>
    <row r="564" spans="1:13" ht="13.5" customHeight="1" x14ac:dyDescent="0.3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</row>
    <row r="565" spans="1:13" ht="13.5" customHeight="1" x14ac:dyDescent="0.3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</row>
    <row r="566" spans="1:13" ht="13.5" customHeight="1" x14ac:dyDescent="0.3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</row>
    <row r="567" spans="1:13" ht="13.5" customHeight="1" x14ac:dyDescent="0.3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</row>
    <row r="568" spans="1:13" ht="13.5" customHeight="1" x14ac:dyDescent="0.3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</row>
    <row r="569" spans="1:13" ht="13.5" customHeight="1" x14ac:dyDescent="0.3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</row>
    <row r="570" spans="1:13" ht="13.5" customHeight="1" x14ac:dyDescent="0.3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</row>
    <row r="571" spans="1:13" ht="13.5" customHeight="1" x14ac:dyDescent="0.3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</row>
    <row r="572" spans="1:13" ht="13.5" customHeight="1" x14ac:dyDescent="0.3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</row>
    <row r="573" spans="1:13" ht="13.5" customHeight="1" x14ac:dyDescent="0.3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</row>
    <row r="574" spans="1:13" ht="13.5" customHeight="1" x14ac:dyDescent="0.3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</row>
    <row r="575" spans="1:13" ht="13.5" customHeight="1" x14ac:dyDescent="0.3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</row>
    <row r="576" spans="1:13" ht="13.5" customHeight="1" x14ac:dyDescent="0.3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</row>
    <row r="577" spans="1:13" ht="13.5" customHeight="1" x14ac:dyDescent="0.3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</row>
    <row r="578" spans="1:13" ht="13.5" customHeight="1" x14ac:dyDescent="0.3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</row>
    <row r="579" spans="1:13" ht="13.5" customHeight="1" x14ac:dyDescent="0.3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</row>
    <row r="580" spans="1:13" ht="13.5" customHeight="1" x14ac:dyDescent="0.3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</row>
    <row r="581" spans="1:13" ht="13.5" customHeight="1" x14ac:dyDescent="0.3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</row>
    <row r="582" spans="1:13" ht="13.5" customHeight="1" x14ac:dyDescent="0.3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</row>
    <row r="583" spans="1:13" ht="13.5" customHeight="1" x14ac:dyDescent="0.3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</row>
    <row r="584" spans="1:13" ht="13.5" customHeight="1" x14ac:dyDescent="0.3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</row>
    <row r="585" spans="1:13" ht="13.5" customHeight="1" x14ac:dyDescent="0.3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</row>
    <row r="586" spans="1:13" ht="13.5" customHeight="1" x14ac:dyDescent="0.3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</row>
    <row r="587" spans="1:13" ht="13.5" customHeight="1" x14ac:dyDescent="0.3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</row>
    <row r="588" spans="1:13" ht="13.5" customHeight="1" x14ac:dyDescent="0.3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</row>
    <row r="589" spans="1:13" ht="13.5" customHeight="1" x14ac:dyDescent="0.3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</row>
    <row r="590" spans="1:13" ht="13.5" customHeight="1" x14ac:dyDescent="0.3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</row>
    <row r="591" spans="1:13" ht="13.5" customHeight="1" x14ac:dyDescent="0.3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</row>
    <row r="592" spans="1:13" ht="13.5" customHeight="1" x14ac:dyDescent="0.3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</row>
    <row r="593" spans="1:13" ht="13.5" customHeight="1" x14ac:dyDescent="0.3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</row>
    <row r="594" spans="1:13" ht="13.5" customHeight="1" x14ac:dyDescent="0.3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</row>
    <row r="595" spans="1:13" ht="13.5" customHeight="1" x14ac:dyDescent="0.3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</row>
    <row r="596" spans="1:13" ht="13.5" customHeight="1" x14ac:dyDescent="0.3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</row>
    <row r="597" spans="1:13" ht="13.5" customHeight="1" x14ac:dyDescent="0.3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</row>
    <row r="598" spans="1:13" ht="13.5" customHeight="1" x14ac:dyDescent="0.3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</row>
    <row r="599" spans="1:13" ht="13.5" customHeight="1" x14ac:dyDescent="0.3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</row>
    <row r="600" spans="1:13" ht="13.5" customHeight="1" x14ac:dyDescent="0.3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</row>
    <row r="601" spans="1:13" ht="13.5" customHeight="1" x14ac:dyDescent="0.3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</row>
    <row r="602" spans="1:13" ht="13.5" customHeight="1" x14ac:dyDescent="0.3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</row>
    <row r="603" spans="1:13" ht="13.5" customHeight="1" x14ac:dyDescent="0.3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</row>
    <row r="604" spans="1:13" ht="13.5" customHeight="1" x14ac:dyDescent="0.3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</row>
    <row r="605" spans="1:13" ht="13.5" customHeight="1" x14ac:dyDescent="0.3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</row>
    <row r="606" spans="1:13" ht="13.5" customHeight="1" x14ac:dyDescent="0.3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</row>
    <row r="607" spans="1:13" ht="13.5" customHeight="1" x14ac:dyDescent="0.3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</row>
    <row r="608" spans="1:13" ht="13.5" customHeight="1" x14ac:dyDescent="0.3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</row>
    <row r="609" spans="1:13" ht="13.5" customHeight="1" x14ac:dyDescent="0.3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</row>
    <row r="610" spans="1:13" ht="13.5" customHeight="1" x14ac:dyDescent="0.3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</row>
    <row r="611" spans="1:13" ht="13.5" customHeight="1" x14ac:dyDescent="0.3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</row>
    <row r="612" spans="1:13" ht="13.5" customHeight="1" x14ac:dyDescent="0.3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</row>
    <row r="613" spans="1:13" ht="13.5" customHeight="1" x14ac:dyDescent="0.3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</row>
    <row r="614" spans="1:13" ht="13.5" customHeight="1" x14ac:dyDescent="0.3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</row>
    <row r="615" spans="1:13" ht="13.5" customHeight="1" x14ac:dyDescent="0.3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</row>
    <row r="616" spans="1:13" ht="13.5" customHeight="1" x14ac:dyDescent="0.3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</row>
    <row r="617" spans="1:13" ht="13.5" customHeight="1" x14ac:dyDescent="0.3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</row>
    <row r="618" spans="1:13" ht="13.5" customHeight="1" x14ac:dyDescent="0.3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</row>
    <row r="619" spans="1:13" ht="13.5" customHeight="1" x14ac:dyDescent="0.3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</row>
    <row r="620" spans="1:13" ht="13.5" customHeight="1" x14ac:dyDescent="0.3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</row>
    <row r="621" spans="1:13" ht="13.5" customHeight="1" x14ac:dyDescent="0.3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</row>
    <row r="622" spans="1:13" ht="13.5" customHeight="1" x14ac:dyDescent="0.3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</row>
    <row r="623" spans="1:13" ht="13.5" customHeight="1" x14ac:dyDescent="0.3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</row>
    <row r="624" spans="1:13" ht="13.5" customHeight="1" x14ac:dyDescent="0.3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</row>
    <row r="625" spans="1:13" ht="13.5" customHeight="1" x14ac:dyDescent="0.3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</row>
    <row r="626" spans="1:13" ht="13.5" customHeight="1" x14ac:dyDescent="0.3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</row>
    <row r="627" spans="1:13" ht="13.5" customHeight="1" x14ac:dyDescent="0.3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</row>
    <row r="628" spans="1:13" ht="13.5" customHeight="1" x14ac:dyDescent="0.3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</row>
    <row r="629" spans="1:13" ht="13.5" customHeight="1" x14ac:dyDescent="0.3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</row>
    <row r="630" spans="1:13" ht="13.5" customHeight="1" x14ac:dyDescent="0.3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</row>
    <row r="631" spans="1:13" ht="13.5" customHeight="1" x14ac:dyDescent="0.3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</row>
    <row r="632" spans="1:13" ht="13.5" customHeight="1" x14ac:dyDescent="0.3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</row>
    <row r="633" spans="1:13" ht="13.5" customHeight="1" x14ac:dyDescent="0.3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</row>
    <row r="634" spans="1:13" ht="13.5" customHeight="1" x14ac:dyDescent="0.3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</row>
    <row r="635" spans="1:13" ht="13.5" customHeight="1" x14ac:dyDescent="0.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</row>
    <row r="636" spans="1:13" ht="13.5" customHeight="1" x14ac:dyDescent="0.3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</row>
    <row r="637" spans="1:13" ht="13.5" customHeight="1" x14ac:dyDescent="0.3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</row>
    <row r="638" spans="1:13" ht="13.5" customHeight="1" x14ac:dyDescent="0.3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</row>
    <row r="639" spans="1:13" ht="13.5" customHeight="1" x14ac:dyDescent="0.3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</row>
    <row r="640" spans="1:13" ht="13.5" customHeight="1" x14ac:dyDescent="0.3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</row>
    <row r="641" spans="1:13" ht="13.5" customHeight="1" x14ac:dyDescent="0.3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</row>
    <row r="642" spans="1:13" ht="13.5" customHeight="1" x14ac:dyDescent="0.3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</row>
    <row r="643" spans="1:13" ht="13.5" customHeight="1" x14ac:dyDescent="0.3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</row>
    <row r="644" spans="1:13" ht="13.5" customHeight="1" x14ac:dyDescent="0.3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</row>
    <row r="645" spans="1:13" ht="13.5" customHeight="1" x14ac:dyDescent="0.3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</row>
    <row r="646" spans="1:13" ht="13.5" customHeight="1" x14ac:dyDescent="0.3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</row>
    <row r="647" spans="1:13" ht="13.5" customHeight="1" x14ac:dyDescent="0.3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</row>
    <row r="648" spans="1:13" ht="13.5" customHeight="1" x14ac:dyDescent="0.3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</row>
    <row r="649" spans="1:13" ht="13.5" customHeight="1" x14ac:dyDescent="0.3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</row>
    <row r="650" spans="1:13" ht="13.5" customHeight="1" x14ac:dyDescent="0.3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</row>
    <row r="651" spans="1:13" ht="13.5" customHeight="1" x14ac:dyDescent="0.3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</row>
    <row r="652" spans="1:13" ht="13.5" customHeight="1" x14ac:dyDescent="0.3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</row>
    <row r="653" spans="1:13" ht="13.5" customHeight="1" x14ac:dyDescent="0.3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</row>
    <row r="654" spans="1:13" ht="13.5" customHeight="1" x14ac:dyDescent="0.3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</row>
    <row r="655" spans="1:13" ht="13.5" customHeight="1" x14ac:dyDescent="0.3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</row>
    <row r="656" spans="1:13" ht="13.5" customHeight="1" x14ac:dyDescent="0.3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</row>
    <row r="657" spans="1:13" ht="13.5" customHeight="1" x14ac:dyDescent="0.3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</row>
    <row r="658" spans="1:13" ht="13.5" customHeight="1" x14ac:dyDescent="0.3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</row>
    <row r="659" spans="1:13" ht="13.5" customHeight="1" x14ac:dyDescent="0.3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</row>
    <row r="660" spans="1:13" ht="13.5" customHeight="1" x14ac:dyDescent="0.3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</row>
    <row r="661" spans="1:13" ht="13.5" customHeight="1" x14ac:dyDescent="0.3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</row>
    <row r="662" spans="1:13" ht="13.5" customHeight="1" x14ac:dyDescent="0.3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</row>
    <row r="663" spans="1:13" ht="13.5" customHeight="1" x14ac:dyDescent="0.3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</row>
    <row r="664" spans="1:13" ht="13.5" customHeight="1" x14ac:dyDescent="0.3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</row>
    <row r="665" spans="1:13" ht="13.5" customHeight="1" x14ac:dyDescent="0.3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</row>
    <row r="666" spans="1:13" ht="13.5" customHeight="1" x14ac:dyDescent="0.3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</row>
    <row r="667" spans="1:13" ht="13.5" customHeight="1" x14ac:dyDescent="0.3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</row>
    <row r="668" spans="1:13" ht="13.5" customHeight="1" x14ac:dyDescent="0.3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</row>
    <row r="669" spans="1:13" ht="13.5" customHeight="1" x14ac:dyDescent="0.3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</row>
    <row r="670" spans="1:13" ht="13.5" customHeight="1" x14ac:dyDescent="0.3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</row>
    <row r="671" spans="1:13" ht="13.5" customHeight="1" x14ac:dyDescent="0.3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</row>
    <row r="672" spans="1:13" ht="13.5" customHeight="1" x14ac:dyDescent="0.3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</row>
    <row r="673" spans="1:13" ht="13.5" customHeight="1" x14ac:dyDescent="0.3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</row>
    <row r="674" spans="1:13" ht="13.5" customHeight="1" x14ac:dyDescent="0.3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</row>
    <row r="675" spans="1:13" ht="13.5" customHeight="1" x14ac:dyDescent="0.3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</row>
    <row r="676" spans="1:13" ht="13.5" customHeight="1" x14ac:dyDescent="0.3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</row>
    <row r="677" spans="1:13" ht="13.5" customHeight="1" x14ac:dyDescent="0.3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</row>
    <row r="678" spans="1:13" ht="13.5" customHeight="1" x14ac:dyDescent="0.3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</row>
    <row r="679" spans="1:13" ht="13.5" customHeight="1" x14ac:dyDescent="0.3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</row>
    <row r="680" spans="1:13" ht="13.5" customHeight="1" x14ac:dyDescent="0.3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</row>
    <row r="681" spans="1:13" ht="13.5" customHeight="1" x14ac:dyDescent="0.3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</row>
    <row r="682" spans="1:13" ht="13.5" customHeight="1" x14ac:dyDescent="0.3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</row>
    <row r="683" spans="1:13" ht="13.5" customHeight="1" x14ac:dyDescent="0.3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</row>
    <row r="684" spans="1:13" ht="13.5" customHeight="1" x14ac:dyDescent="0.3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</row>
    <row r="685" spans="1:13" ht="13.5" customHeight="1" x14ac:dyDescent="0.3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</row>
    <row r="686" spans="1:13" ht="13.5" customHeight="1" x14ac:dyDescent="0.3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</row>
    <row r="687" spans="1:13" ht="13.5" customHeight="1" x14ac:dyDescent="0.3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</row>
    <row r="688" spans="1:13" ht="13.5" customHeight="1" x14ac:dyDescent="0.3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</row>
    <row r="689" spans="1:13" ht="13.5" customHeight="1" x14ac:dyDescent="0.3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</row>
    <row r="690" spans="1:13" ht="13.5" customHeight="1" x14ac:dyDescent="0.3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</row>
    <row r="691" spans="1:13" ht="13.5" customHeight="1" x14ac:dyDescent="0.3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</row>
    <row r="692" spans="1:13" ht="13.5" customHeight="1" x14ac:dyDescent="0.3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</row>
    <row r="693" spans="1:13" ht="13.5" customHeight="1" x14ac:dyDescent="0.3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</row>
    <row r="694" spans="1:13" ht="13.5" customHeight="1" x14ac:dyDescent="0.3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</row>
    <row r="695" spans="1:13" ht="13.5" customHeight="1" x14ac:dyDescent="0.3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</row>
    <row r="696" spans="1:13" ht="13.5" customHeight="1" x14ac:dyDescent="0.3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</row>
    <row r="697" spans="1:13" ht="13.5" customHeight="1" x14ac:dyDescent="0.3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</row>
    <row r="698" spans="1:13" ht="13.5" customHeight="1" x14ac:dyDescent="0.3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</row>
    <row r="699" spans="1:13" ht="13.5" customHeight="1" x14ac:dyDescent="0.3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</row>
    <row r="700" spans="1:13" ht="13.5" customHeight="1" x14ac:dyDescent="0.3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</row>
    <row r="701" spans="1:13" ht="13.5" customHeight="1" x14ac:dyDescent="0.3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</row>
    <row r="702" spans="1:13" ht="13.5" customHeight="1" x14ac:dyDescent="0.3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</row>
    <row r="703" spans="1:13" ht="13.5" customHeight="1" x14ac:dyDescent="0.3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</row>
    <row r="704" spans="1:13" ht="13.5" customHeight="1" x14ac:dyDescent="0.3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</row>
    <row r="705" spans="1:13" ht="13.5" customHeight="1" x14ac:dyDescent="0.3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</row>
    <row r="706" spans="1:13" ht="13.5" customHeight="1" x14ac:dyDescent="0.3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</row>
    <row r="707" spans="1:13" ht="13.5" customHeight="1" x14ac:dyDescent="0.3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</row>
    <row r="708" spans="1:13" ht="13.5" customHeight="1" x14ac:dyDescent="0.3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</row>
    <row r="709" spans="1:13" ht="13.5" customHeight="1" x14ac:dyDescent="0.3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</row>
    <row r="710" spans="1:13" ht="13.5" customHeight="1" x14ac:dyDescent="0.3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</row>
    <row r="711" spans="1:13" ht="13.5" customHeight="1" x14ac:dyDescent="0.3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</row>
    <row r="712" spans="1:13" ht="13.5" customHeight="1" x14ac:dyDescent="0.3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</row>
    <row r="713" spans="1:13" ht="13.5" customHeight="1" x14ac:dyDescent="0.3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</row>
    <row r="714" spans="1:13" ht="13.5" customHeight="1" x14ac:dyDescent="0.3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</row>
    <row r="715" spans="1:13" ht="13.5" customHeight="1" x14ac:dyDescent="0.3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</row>
    <row r="716" spans="1:13" ht="13.5" customHeight="1" x14ac:dyDescent="0.3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</row>
    <row r="717" spans="1:13" ht="13.5" customHeight="1" x14ac:dyDescent="0.3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</row>
    <row r="718" spans="1:13" ht="13.5" customHeight="1" x14ac:dyDescent="0.3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</row>
    <row r="719" spans="1:13" ht="13.5" customHeight="1" x14ac:dyDescent="0.3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</row>
    <row r="720" spans="1:13" ht="13.5" customHeight="1" x14ac:dyDescent="0.3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</row>
    <row r="721" spans="1:13" ht="13.5" customHeight="1" x14ac:dyDescent="0.3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</row>
    <row r="722" spans="1:13" ht="13.5" customHeight="1" x14ac:dyDescent="0.3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</row>
    <row r="723" spans="1:13" ht="13.5" customHeight="1" x14ac:dyDescent="0.3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</row>
    <row r="724" spans="1:13" ht="13.5" customHeight="1" x14ac:dyDescent="0.3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</row>
    <row r="725" spans="1:13" ht="13.5" customHeight="1" x14ac:dyDescent="0.3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</row>
    <row r="726" spans="1:13" ht="13.5" customHeight="1" x14ac:dyDescent="0.3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</row>
    <row r="727" spans="1:13" ht="13.5" customHeight="1" x14ac:dyDescent="0.3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</row>
    <row r="728" spans="1:13" ht="13.5" customHeight="1" x14ac:dyDescent="0.3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</row>
    <row r="729" spans="1:13" ht="13.5" customHeight="1" x14ac:dyDescent="0.3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</row>
    <row r="730" spans="1:13" ht="13.5" customHeight="1" x14ac:dyDescent="0.3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</row>
    <row r="731" spans="1:13" ht="13.5" customHeight="1" x14ac:dyDescent="0.3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</row>
    <row r="732" spans="1:13" ht="13.5" customHeight="1" x14ac:dyDescent="0.3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</row>
    <row r="733" spans="1:13" ht="13.5" customHeight="1" x14ac:dyDescent="0.3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</row>
    <row r="734" spans="1:13" ht="13.5" customHeight="1" x14ac:dyDescent="0.3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</row>
    <row r="735" spans="1:13" ht="13.5" customHeight="1" x14ac:dyDescent="0.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</row>
    <row r="736" spans="1:13" ht="13.5" customHeight="1" x14ac:dyDescent="0.3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</row>
    <row r="737" spans="1:13" ht="13.5" customHeight="1" x14ac:dyDescent="0.3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</row>
    <row r="738" spans="1:13" ht="13.5" customHeight="1" x14ac:dyDescent="0.3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</row>
    <row r="739" spans="1:13" ht="13.5" customHeight="1" x14ac:dyDescent="0.3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</row>
    <row r="740" spans="1:13" ht="13.5" customHeight="1" x14ac:dyDescent="0.3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</row>
    <row r="741" spans="1:13" ht="13.5" customHeight="1" x14ac:dyDescent="0.3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</row>
    <row r="742" spans="1:13" ht="13.5" customHeight="1" x14ac:dyDescent="0.3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</row>
    <row r="743" spans="1:13" ht="13.5" customHeight="1" x14ac:dyDescent="0.3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</row>
    <row r="744" spans="1:13" ht="13.5" customHeight="1" x14ac:dyDescent="0.3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</row>
    <row r="745" spans="1:13" ht="13.5" customHeight="1" x14ac:dyDescent="0.3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</row>
    <row r="746" spans="1:13" ht="13.5" customHeight="1" x14ac:dyDescent="0.3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</row>
    <row r="747" spans="1:13" ht="13.5" customHeight="1" x14ac:dyDescent="0.3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</row>
    <row r="748" spans="1:13" ht="13.5" customHeight="1" x14ac:dyDescent="0.3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</row>
    <row r="749" spans="1:13" ht="13.5" customHeight="1" x14ac:dyDescent="0.3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</row>
    <row r="750" spans="1:13" ht="13.5" customHeight="1" x14ac:dyDescent="0.3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</row>
    <row r="751" spans="1:13" ht="13.5" customHeight="1" x14ac:dyDescent="0.3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</row>
    <row r="752" spans="1:13" ht="13.5" customHeight="1" x14ac:dyDescent="0.3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</row>
    <row r="753" spans="1:13" ht="13.5" customHeight="1" x14ac:dyDescent="0.3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</row>
    <row r="754" spans="1:13" ht="13.5" customHeight="1" x14ac:dyDescent="0.3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</row>
    <row r="755" spans="1:13" ht="13.5" customHeight="1" x14ac:dyDescent="0.3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</row>
    <row r="756" spans="1:13" ht="13.5" customHeight="1" x14ac:dyDescent="0.3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</row>
    <row r="757" spans="1:13" ht="13.5" customHeight="1" x14ac:dyDescent="0.3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</row>
    <row r="758" spans="1:13" ht="13.5" customHeight="1" x14ac:dyDescent="0.3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</row>
    <row r="759" spans="1:13" ht="13.5" customHeight="1" x14ac:dyDescent="0.3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</row>
    <row r="760" spans="1:13" ht="13.5" customHeight="1" x14ac:dyDescent="0.3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</row>
    <row r="761" spans="1:13" ht="13.5" customHeight="1" x14ac:dyDescent="0.3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</row>
    <row r="762" spans="1:13" ht="13.5" customHeight="1" x14ac:dyDescent="0.3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</row>
    <row r="763" spans="1:13" ht="13.5" customHeight="1" x14ac:dyDescent="0.3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</row>
    <row r="764" spans="1:13" ht="13.5" customHeight="1" x14ac:dyDescent="0.3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</row>
    <row r="765" spans="1:13" ht="13.5" customHeight="1" x14ac:dyDescent="0.3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</row>
    <row r="766" spans="1:13" ht="13.5" customHeight="1" x14ac:dyDescent="0.3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</row>
    <row r="767" spans="1:13" ht="13.5" customHeight="1" x14ac:dyDescent="0.3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</row>
    <row r="768" spans="1:13" ht="13.5" customHeight="1" x14ac:dyDescent="0.3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</row>
    <row r="769" spans="1:13" ht="13.5" customHeight="1" x14ac:dyDescent="0.3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</row>
    <row r="770" spans="1:13" ht="13.5" customHeight="1" x14ac:dyDescent="0.3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</row>
    <row r="771" spans="1:13" ht="13.5" customHeight="1" x14ac:dyDescent="0.3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</row>
    <row r="772" spans="1:13" ht="13.5" customHeight="1" x14ac:dyDescent="0.3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</row>
    <row r="773" spans="1:13" ht="13.5" customHeight="1" x14ac:dyDescent="0.3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</row>
    <row r="774" spans="1:13" ht="13.5" customHeight="1" x14ac:dyDescent="0.3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</row>
    <row r="775" spans="1:13" ht="13.5" customHeight="1" x14ac:dyDescent="0.3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</row>
    <row r="776" spans="1:13" ht="13.5" customHeight="1" x14ac:dyDescent="0.3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</row>
    <row r="777" spans="1:13" ht="13.5" customHeight="1" x14ac:dyDescent="0.3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</row>
    <row r="778" spans="1:13" ht="13.5" customHeight="1" x14ac:dyDescent="0.3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</row>
    <row r="779" spans="1:13" ht="13.5" customHeight="1" x14ac:dyDescent="0.3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</row>
    <row r="780" spans="1:13" ht="13.5" customHeight="1" x14ac:dyDescent="0.3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</row>
    <row r="781" spans="1:13" ht="13.5" customHeight="1" x14ac:dyDescent="0.3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</row>
    <row r="782" spans="1:13" ht="13.5" customHeight="1" x14ac:dyDescent="0.3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</row>
    <row r="783" spans="1:13" ht="13.5" customHeight="1" x14ac:dyDescent="0.3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</row>
    <row r="784" spans="1:13" ht="13.5" customHeight="1" x14ac:dyDescent="0.3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</row>
    <row r="785" spans="1:13" ht="13.5" customHeight="1" x14ac:dyDescent="0.3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</row>
    <row r="786" spans="1:13" ht="13.5" customHeight="1" x14ac:dyDescent="0.3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</row>
    <row r="787" spans="1:13" ht="13.5" customHeight="1" x14ac:dyDescent="0.3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</row>
    <row r="788" spans="1:13" ht="13.5" customHeight="1" x14ac:dyDescent="0.3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</row>
    <row r="789" spans="1:13" ht="13.5" customHeight="1" x14ac:dyDescent="0.3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</row>
    <row r="790" spans="1:13" ht="13.5" customHeight="1" x14ac:dyDescent="0.3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</row>
    <row r="791" spans="1:13" ht="13.5" customHeight="1" x14ac:dyDescent="0.3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</row>
    <row r="792" spans="1:13" ht="13.5" customHeight="1" x14ac:dyDescent="0.3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</row>
    <row r="793" spans="1:13" ht="13.5" customHeight="1" x14ac:dyDescent="0.3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</row>
    <row r="794" spans="1:13" ht="13.5" customHeight="1" x14ac:dyDescent="0.3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</row>
    <row r="795" spans="1:13" ht="13.5" customHeight="1" x14ac:dyDescent="0.3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</row>
    <row r="796" spans="1:13" ht="13.5" customHeight="1" x14ac:dyDescent="0.3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</row>
    <row r="797" spans="1:13" ht="13.5" customHeight="1" x14ac:dyDescent="0.3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</row>
    <row r="798" spans="1:13" ht="13.5" customHeight="1" x14ac:dyDescent="0.3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</row>
    <row r="799" spans="1:13" ht="13.5" customHeight="1" x14ac:dyDescent="0.3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</row>
    <row r="800" spans="1:13" ht="13.5" customHeight="1" x14ac:dyDescent="0.3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</row>
    <row r="801" spans="1:13" ht="13.5" customHeight="1" x14ac:dyDescent="0.3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</row>
    <row r="802" spans="1:13" ht="13.5" customHeight="1" x14ac:dyDescent="0.3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</row>
    <row r="803" spans="1:13" ht="13.5" customHeight="1" x14ac:dyDescent="0.3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</row>
    <row r="804" spans="1:13" ht="13.5" customHeight="1" x14ac:dyDescent="0.3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</row>
    <row r="805" spans="1:13" ht="13.5" customHeight="1" x14ac:dyDescent="0.3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</row>
    <row r="806" spans="1:13" ht="13.5" customHeight="1" x14ac:dyDescent="0.3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</row>
    <row r="807" spans="1:13" ht="13.5" customHeight="1" x14ac:dyDescent="0.3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</row>
    <row r="808" spans="1:13" ht="13.5" customHeight="1" x14ac:dyDescent="0.3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</row>
    <row r="809" spans="1:13" ht="13.5" customHeight="1" x14ac:dyDescent="0.3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</row>
    <row r="810" spans="1:13" ht="13.5" customHeight="1" x14ac:dyDescent="0.3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</row>
    <row r="811" spans="1:13" ht="13.5" customHeight="1" x14ac:dyDescent="0.3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</row>
    <row r="812" spans="1:13" ht="13.5" customHeight="1" x14ac:dyDescent="0.3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</row>
    <row r="813" spans="1:13" ht="13.5" customHeight="1" x14ac:dyDescent="0.3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</row>
    <row r="814" spans="1:13" ht="13.5" customHeight="1" x14ac:dyDescent="0.3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</row>
    <row r="815" spans="1:13" ht="13.5" customHeight="1" x14ac:dyDescent="0.3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</row>
    <row r="816" spans="1:13" ht="13.5" customHeight="1" x14ac:dyDescent="0.3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</row>
    <row r="817" spans="1:13" ht="13.5" customHeight="1" x14ac:dyDescent="0.3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</row>
    <row r="818" spans="1:13" ht="13.5" customHeight="1" x14ac:dyDescent="0.3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</row>
    <row r="819" spans="1:13" ht="13.5" customHeight="1" x14ac:dyDescent="0.3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</row>
    <row r="820" spans="1:13" ht="13.5" customHeight="1" x14ac:dyDescent="0.3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</row>
    <row r="821" spans="1:13" ht="13.5" customHeight="1" x14ac:dyDescent="0.3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</row>
    <row r="822" spans="1:13" ht="13.5" customHeight="1" x14ac:dyDescent="0.3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</row>
    <row r="823" spans="1:13" ht="13.5" customHeight="1" x14ac:dyDescent="0.3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</row>
    <row r="824" spans="1:13" ht="13.5" customHeight="1" x14ac:dyDescent="0.3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</row>
    <row r="825" spans="1:13" ht="13.5" customHeight="1" x14ac:dyDescent="0.3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</row>
    <row r="826" spans="1:13" ht="13.5" customHeight="1" x14ac:dyDescent="0.3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</row>
    <row r="827" spans="1:13" ht="13.5" customHeight="1" x14ac:dyDescent="0.3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</row>
    <row r="828" spans="1:13" ht="13.5" customHeight="1" x14ac:dyDescent="0.3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</row>
    <row r="829" spans="1:13" ht="13.5" customHeight="1" x14ac:dyDescent="0.3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</row>
    <row r="830" spans="1:13" ht="13.5" customHeight="1" x14ac:dyDescent="0.3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</row>
    <row r="831" spans="1:13" ht="13.5" customHeight="1" x14ac:dyDescent="0.3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</row>
    <row r="832" spans="1:13" ht="13.5" customHeight="1" x14ac:dyDescent="0.3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</row>
    <row r="833" spans="1:13" ht="13.5" customHeight="1" x14ac:dyDescent="0.3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</row>
    <row r="834" spans="1:13" ht="13.5" customHeight="1" x14ac:dyDescent="0.3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</row>
    <row r="835" spans="1:13" ht="13.5" customHeight="1" x14ac:dyDescent="0.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</row>
    <row r="836" spans="1:13" ht="13.5" customHeight="1" x14ac:dyDescent="0.3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</row>
    <row r="837" spans="1:13" ht="13.5" customHeight="1" x14ac:dyDescent="0.3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</row>
    <row r="838" spans="1:13" ht="13.5" customHeight="1" x14ac:dyDescent="0.3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</row>
    <row r="839" spans="1:13" ht="13.5" customHeight="1" x14ac:dyDescent="0.3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</row>
    <row r="840" spans="1:13" ht="13.5" customHeight="1" x14ac:dyDescent="0.3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</row>
    <row r="841" spans="1:13" ht="13.5" customHeight="1" x14ac:dyDescent="0.3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</row>
    <row r="842" spans="1:13" ht="13.5" customHeight="1" x14ac:dyDescent="0.3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</row>
    <row r="843" spans="1:13" ht="13.5" customHeight="1" x14ac:dyDescent="0.3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</row>
    <row r="844" spans="1:13" ht="13.5" customHeight="1" x14ac:dyDescent="0.3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</row>
    <row r="845" spans="1:13" ht="13.5" customHeight="1" x14ac:dyDescent="0.3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</row>
    <row r="846" spans="1:13" ht="13.5" customHeight="1" x14ac:dyDescent="0.3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</row>
    <row r="847" spans="1:13" ht="13.5" customHeight="1" x14ac:dyDescent="0.3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</row>
    <row r="848" spans="1:13" ht="13.5" customHeight="1" x14ac:dyDescent="0.3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</row>
    <row r="849" spans="1:13" ht="13.5" customHeight="1" x14ac:dyDescent="0.3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</row>
    <row r="850" spans="1:13" ht="13.5" customHeight="1" x14ac:dyDescent="0.3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</row>
    <row r="851" spans="1:13" ht="13.5" customHeight="1" x14ac:dyDescent="0.3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</row>
    <row r="852" spans="1:13" ht="13.5" customHeight="1" x14ac:dyDescent="0.3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</row>
    <row r="853" spans="1:13" ht="13.5" customHeight="1" x14ac:dyDescent="0.3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</row>
    <row r="854" spans="1:13" ht="13.5" customHeight="1" x14ac:dyDescent="0.3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</row>
    <row r="855" spans="1:13" ht="13.5" customHeight="1" x14ac:dyDescent="0.3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</row>
    <row r="856" spans="1:13" ht="13.5" customHeight="1" x14ac:dyDescent="0.3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</row>
    <row r="857" spans="1:13" ht="13.5" customHeight="1" x14ac:dyDescent="0.3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</row>
    <row r="858" spans="1:13" ht="13.5" customHeight="1" x14ac:dyDescent="0.3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</row>
    <row r="859" spans="1:13" ht="13.5" customHeight="1" x14ac:dyDescent="0.3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</row>
    <row r="860" spans="1:13" ht="13.5" customHeight="1" x14ac:dyDescent="0.3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</row>
    <row r="861" spans="1:13" ht="13.5" customHeight="1" x14ac:dyDescent="0.3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</row>
    <row r="862" spans="1:13" ht="13.5" customHeight="1" x14ac:dyDescent="0.3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</row>
    <row r="863" spans="1:13" ht="13.5" customHeight="1" x14ac:dyDescent="0.3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</row>
    <row r="864" spans="1:13" ht="13.5" customHeight="1" x14ac:dyDescent="0.3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</row>
    <row r="865" spans="1:13" ht="13.5" customHeight="1" x14ac:dyDescent="0.3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</row>
    <row r="866" spans="1:13" ht="13.5" customHeight="1" x14ac:dyDescent="0.3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</row>
    <row r="867" spans="1:13" ht="13.5" customHeight="1" x14ac:dyDescent="0.3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</row>
    <row r="868" spans="1:13" ht="13.5" customHeight="1" x14ac:dyDescent="0.3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</row>
    <row r="869" spans="1:13" ht="13.5" customHeight="1" x14ac:dyDescent="0.3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</row>
    <row r="870" spans="1:13" ht="13.5" customHeight="1" x14ac:dyDescent="0.3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</row>
    <row r="871" spans="1:13" ht="13.5" customHeight="1" x14ac:dyDescent="0.3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</row>
    <row r="872" spans="1:13" ht="13.5" customHeight="1" x14ac:dyDescent="0.3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</row>
    <row r="873" spans="1:13" ht="13.5" customHeight="1" x14ac:dyDescent="0.3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</row>
    <row r="874" spans="1:13" ht="13.5" customHeight="1" x14ac:dyDescent="0.3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</row>
    <row r="875" spans="1:13" ht="13.5" customHeight="1" x14ac:dyDescent="0.3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</row>
    <row r="876" spans="1:13" ht="13.5" customHeight="1" x14ac:dyDescent="0.3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</row>
    <row r="877" spans="1:13" ht="13.5" customHeight="1" x14ac:dyDescent="0.3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</row>
    <row r="878" spans="1:13" ht="13.5" customHeight="1" x14ac:dyDescent="0.3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</row>
    <row r="879" spans="1:13" ht="13.5" customHeight="1" x14ac:dyDescent="0.3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</row>
    <row r="880" spans="1:13" ht="13.5" customHeight="1" x14ac:dyDescent="0.3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</row>
    <row r="881" spans="1:13" ht="13.5" customHeight="1" x14ac:dyDescent="0.3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</row>
    <row r="882" spans="1:13" ht="13.5" customHeight="1" x14ac:dyDescent="0.3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</row>
    <row r="883" spans="1:13" ht="13.5" customHeight="1" x14ac:dyDescent="0.3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</row>
    <row r="884" spans="1:13" ht="13.5" customHeight="1" x14ac:dyDescent="0.3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</row>
    <row r="885" spans="1:13" ht="13.5" customHeight="1" x14ac:dyDescent="0.3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</row>
    <row r="886" spans="1:13" ht="13.5" customHeight="1" x14ac:dyDescent="0.3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</row>
    <row r="887" spans="1:13" ht="13.5" customHeight="1" x14ac:dyDescent="0.3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</row>
    <row r="888" spans="1:13" ht="13.5" customHeight="1" x14ac:dyDescent="0.3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</row>
    <row r="889" spans="1:13" ht="13.5" customHeight="1" x14ac:dyDescent="0.3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</row>
    <row r="890" spans="1:13" ht="13.5" customHeight="1" x14ac:dyDescent="0.3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</row>
    <row r="891" spans="1:13" ht="13.5" customHeight="1" x14ac:dyDescent="0.3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</row>
    <row r="892" spans="1:13" ht="13.5" customHeight="1" x14ac:dyDescent="0.3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</row>
    <row r="893" spans="1:13" ht="13.5" customHeight="1" x14ac:dyDescent="0.3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</row>
    <row r="894" spans="1:13" ht="13.5" customHeight="1" x14ac:dyDescent="0.3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</row>
    <row r="895" spans="1:13" ht="13.5" customHeight="1" x14ac:dyDescent="0.3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</row>
    <row r="896" spans="1:13" ht="13.5" customHeight="1" x14ac:dyDescent="0.3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</row>
    <row r="897" spans="1:13" ht="13.5" customHeight="1" x14ac:dyDescent="0.3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</row>
    <row r="898" spans="1:13" ht="13.5" customHeight="1" x14ac:dyDescent="0.3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</row>
    <row r="899" spans="1:13" ht="13.5" customHeight="1" x14ac:dyDescent="0.3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</row>
    <row r="900" spans="1:13" ht="13.5" customHeight="1" x14ac:dyDescent="0.3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</row>
    <row r="901" spans="1:13" ht="13.5" customHeight="1" x14ac:dyDescent="0.3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</row>
    <row r="902" spans="1:13" ht="13.5" customHeight="1" x14ac:dyDescent="0.3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</row>
    <row r="903" spans="1:13" ht="13.5" customHeight="1" x14ac:dyDescent="0.3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</row>
    <row r="904" spans="1:13" ht="13.5" customHeight="1" x14ac:dyDescent="0.3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</row>
    <row r="905" spans="1:13" ht="13.5" customHeight="1" x14ac:dyDescent="0.3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</row>
    <row r="906" spans="1:13" ht="13.5" customHeight="1" x14ac:dyDescent="0.3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</row>
    <row r="907" spans="1:13" ht="13.5" customHeight="1" x14ac:dyDescent="0.3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</row>
    <row r="908" spans="1:13" ht="13.5" customHeight="1" x14ac:dyDescent="0.3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</row>
    <row r="909" spans="1:13" ht="13.5" customHeight="1" x14ac:dyDescent="0.3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</row>
    <row r="910" spans="1:13" ht="13.5" customHeight="1" x14ac:dyDescent="0.3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</row>
    <row r="911" spans="1:13" ht="13.5" customHeight="1" x14ac:dyDescent="0.3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</row>
    <row r="912" spans="1:13" ht="13.5" customHeight="1" x14ac:dyDescent="0.3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</row>
    <row r="913" spans="1:13" ht="13.5" customHeight="1" x14ac:dyDescent="0.3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</row>
    <row r="914" spans="1:13" ht="13.5" customHeight="1" x14ac:dyDescent="0.3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</row>
    <row r="915" spans="1:13" ht="13.5" customHeight="1" x14ac:dyDescent="0.3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</row>
    <row r="916" spans="1:13" ht="13.5" customHeight="1" x14ac:dyDescent="0.3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</row>
    <row r="917" spans="1:13" ht="13.5" customHeight="1" x14ac:dyDescent="0.3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</row>
    <row r="918" spans="1:13" ht="13.5" customHeight="1" x14ac:dyDescent="0.3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</row>
    <row r="919" spans="1:13" ht="13.5" customHeight="1" x14ac:dyDescent="0.3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</row>
    <row r="920" spans="1:13" ht="13.5" customHeight="1" x14ac:dyDescent="0.3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</row>
    <row r="921" spans="1:13" ht="13.5" customHeight="1" x14ac:dyDescent="0.3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</row>
    <row r="922" spans="1:13" ht="13.5" customHeight="1" x14ac:dyDescent="0.3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</row>
    <row r="923" spans="1:13" ht="13.5" customHeight="1" x14ac:dyDescent="0.3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</row>
    <row r="924" spans="1:13" ht="13.5" customHeight="1" x14ac:dyDescent="0.3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</row>
    <row r="925" spans="1:13" ht="13.5" customHeight="1" x14ac:dyDescent="0.3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</row>
    <row r="926" spans="1:13" ht="13.5" customHeight="1" x14ac:dyDescent="0.3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</row>
    <row r="927" spans="1:13" ht="13.5" customHeight="1" x14ac:dyDescent="0.3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</row>
    <row r="928" spans="1:13" ht="13.5" customHeight="1" x14ac:dyDescent="0.3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</row>
    <row r="929" spans="1:13" ht="13.5" customHeight="1" x14ac:dyDescent="0.3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</row>
    <row r="930" spans="1:13" ht="13.5" customHeight="1" x14ac:dyDescent="0.3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</row>
    <row r="931" spans="1:13" ht="13.5" customHeight="1" x14ac:dyDescent="0.3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</row>
    <row r="932" spans="1:13" ht="13.5" customHeight="1" x14ac:dyDescent="0.3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</row>
    <row r="933" spans="1:13" ht="13.5" customHeight="1" x14ac:dyDescent="0.3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</row>
    <row r="934" spans="1:13" ht="13.5" customHeight="1" x14ac:dyDescent="0.3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</row>
    <row r="935" spans="1:13" ht="13.5" customHeight="1" x14ac:dyDescent="0.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</row>
    <row r="936" spans="1:13" ht="13.5" customHeight="1" x14ac:dyDescent="0.3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</row>
    <row r="937" spans="1:13" ht="13.5" customHeight="1" x14ac:dyDescent="0.3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</row>
    <row r="938" spans="1:13" ht="13.5" customHeight="1" x14ac:dyDescent="0.3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</row>
    <row r="939" spans="1:13" ht="13.5" customHeight="1" x14ac:dyDescent="0.3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</row>
    <row r="940" spans="1:13" ht="13.5" customHeight="1" x14ac:dyDescent="0.3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</row>
    <row r="941" spans="1:13" ht="13.5" customHeight="1" x14ac:dyDescent="0.3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</row>
    <row r="942" spans="1:13" ht="13.5" customHeight="1" x14ac:dyDescent="0.3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</row>
    <row r="943" spans="1:13" ht="13.5" customHeight="1" x14ac:dyDescent="0.3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</row>
    <row r="944" spans="1:13" ht="13.5" customHeight="1" x14ac:dyDescent="0.3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</row>
    <row r="945" spans="1:13" ht="13.5" customHeight="1" x14ac:dyDescent="0.3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</row>
    <row r="946" spans="1:13" ht="13.5" customHeight="1" x14ac:dyDescent="0.3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</row>
    <row r="947" spans="1:13" ht="13.5" customHeight="1" x14ac:dyDescent="0.3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</row>
    <row r="948" spans="1:13" ht="13.5" customHeight="1" x14ac:dyDescent="0.3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</row>
    <row r="949" spans="1:13" ht="13.5" customHeight="1" x14ac:dyDescent="0.3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</row>
    <row r="950" spans="1:13" ht="13.5" customHeight="1" x14ac:dyDescent="0.3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</row>
    <row r="951" spans="1:13" ht="13.5" customHeight="1" x14ac:dyDescent="0.3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</row>
    <row r="952" spans="1:13" ht="13.5" customHeight="1" x14ac:dyDescent="0.3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</row>
    <row r="953" spans="1:13" ht="13.5" customHeight="1" x14ac:dyDescent="0.3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</row>
    <row r="954" spans="1:13" ht="13.5" customHeight="1" x14ac:dyDescent="0.3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</row>
    <row r="955" spans="1:13" ht="13.5" customHeight="1" x14ac:dyDescent="0.3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</row>
    <row r="956" spans="1:13" ht="13.5" customHeight="1" x14ac:dyDescent="0.3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</row>
    <row r="957" spans="1:13" ht="13.5" customHeight="1" x14ac:dyDescent="0.3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</row>
    <row r="958" spans="1:13" ht="13.5" customHeight="1" x14ac:dyDescent="0.3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</row>
    <row r="959" spans="1:13" ht="13.5" customHeight="1" x14ac:dyDescent="0.3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</row>
    <row r="960" spans="1:13" ht="13.5" customHeight="1" x14ac:dyDescent="0.3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</row>
    <row r="961" spans="1:13" ht="13.5" customHeight="1" x14ac:dyDescent="0.3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</row>
    <row r="962" spans="1:13" ht="13.5" customHeight="1" x14ac:dyDescent="0.3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</row>
    <row r="963" spans="1:13" ht="13.5" customHeight="1" x14ac:dyDescent="0.3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</row>
    <row r="964" spans="1:13" ht="13.5" customHeight="1" x14ac:dyDescent="0.3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</row>
    <row r="965" spans="1:13" ht="13.5" customHeight="1" x14ac:dyDescent="0.3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</row>
    <row r="966" spans="1:13" ht="13.5" customHeight="1" x14ac:dyDescent="0.3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</row>
    <row r="967" spans="1:13" ht="13.5" customHeight="1" x14ac:dyDescent="0.3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</row>
    <row r="968" spans="1:13" ht="13.5" customHeight="1" x14ac:dyDescent="0.3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</row>
    <row r="969" spans="1:13" ht="13.5" customHeight="1" x14ac:dyDescent="0.3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</row>
    <row r="970" spans="1:13" ht="13.5" customHeight="1" x14ac:dyDescent="0.3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</row>
    <row r="971" spans="1:13" ht="13.5" customHeight="1" x14ac:dyDescent="0.3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</row>
    <row r="972" spans="1:13" ht="13.5" customHeight="1" x14ac:dyDescent="0.3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</row>
    <row r="973" spans="1:13" ht="13.5" customHeight="1" x14ac:dyDescent="0.3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</row>
    <row r="974" spans="1:13" ht="13.5" customHeight="1" x14ac:dyDescent="0.3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</row>
    <row r="975" spans="1:13" ht="13.5" customHeight="1" x14ac:dyDescent="0.3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</row>
    <row r="976" spans="1:13" ht="13.5" customHeight="1" x14ac:dyDescent="0.3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</row>
    <row r="977" spans="1:13" ht="13.5" customHeight="1" x14ac:dyDescent="0.3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</row>
    <row r="978" spans="1:13" ht="13.5" customHeight="1" x14ac:dyDescent="0.3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</row>
    <row r="979" spans="1:13" ht="13.5" customHeight="1" x14ac:dyDescent="0.3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</row>
    <row r="980" spans="1:13" ht="13.5" customHeight="1" x14ac:dyDescent="0.3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</row>
    <row r="981" spans="1:13" ht="13.5" customHeight="1" x14ac:dyDescent="0.3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</row>
    <row r="982" spans="1:13" ht="13.5" customHeight="1" x14ac:dyDescent="0.3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</row>
    <row r="983" spans="1:13" ht="13.5" customHeight="1" x14ac:dyDescent="0.3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</row>
    <row r="984" spans="1:13" ht="13.5" customHeight="1" x14ac:dyDescent="0.3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</row>
    <row r="985" spans="1:13" ht="13.5" customHeight="1" x14ac:dyDescent="0.3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</row>
    <row r="986" spans="1:13" ht="13.5" customHeight="1" x14ac:dyDescent="0.3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</row>
    <row r="987" spans="1:13" ht="13.5" customHeight="1" x14ac:dyDescent="0.3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</row>
    <row r="988" spans="1:13" ht="13.5" customHeight="1" x14ac:dyDescent="0.3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</row>
    <row r="989" spans="1:13" ht="13.5" customHeight="1" x14ac:dyDescent="0.3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</row>
    <row r="990" spans="1:13" ht="13.5" customHeight="1" x14ac:dyDescent="0.3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</row>
    <row r="991" spans="1:13" ht="13.5" customHeight="1" x14ac:dyDescent="0.3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</row>
    <row r="992" spans="1:13" ht="13.5" customHeight="1" x14ac:dyDescent="0.3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</row>
    <row r="993" spans="1:13" ht="13.5" customHeight="1" x14ac:dyDescent="0.3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</row>
    <row r="994" spans="1:13" ht="13.5" customHeight="1" x14ac:dyDescent="0.3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</row>
    <row r="995" spans="1:13" ht="13.5" customHeight="1" x14ac:dyDescent="0.3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</row>
    <row r="996" spans="1:13" ht="13.5" customHeight="1" x14ac:dyDescent="0.3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</row>
    <row r="997" spans="1:13" ht="13.5" customHeight="1" x14ac:dyDescent="0.3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</row>
    <row r="998" spans="1:13" ht="13.5" customHeight="1" x14ac:dyDescent="0.3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</row>
    <row r="999" spans="1:13" ht="13.5" customHeight="1" x14ac:dyDescent="0.3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</row>
    <row r="1000" spans="1:13" ht="13.5" customHeight="1" x14ac:dyDescent="0.3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</row>
    <row r="1001" spans="1:13" ht="13.5" customHeight="1" x14ac:dyDescent="0.3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</row>
    <row r="1002" spans="1:13" ht="13.5" customHeight="1" x14ac:dyDescent="0.3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</row>
  </sheetData>
  <sheetProtection algorithmName="SHA-512" hashValue="6VtCRXA7D1DkASbQ7R9CbP60EikEU0Y8SFCX1KFBQFSNknbtExh+Hc/rUloFyJ+iQQCv48EnxPMnFRy2KEufAQ==" saltValue="FiRp8iZaI9MzWX6snLP5Yg==" spinCount="100000" sheet="1" objects="1" scenarios="1" autoFilter="0"/>
  <autoFilter ref="A6:M381" xr:uid="{00000000-0009-0000-0000-000002000000}"/>
  <mergeCells count="1">
    <mergeCell ref="A3:M4"/>
  </mergeCells>
  <conditionalFormatting sqref="A7:M381">
    <cfRule type="expression" dxfId="42" priority="2">
      <formula>OR($J7="Cumplido",$J7="No aplica")</formula>
    </cfRule>
    <cfRule type="expression" dxfId="41" priority="3">
      <formula>AND($A7&lt;&gt;"",$M7&lt;0,$J7&lt;&gt;"Cumplido",$J7&lt;&gt;"No aplica")</formula>
    </cfRule>
    <cfRule type="expression" dxfId="40" priority="4">
      <formula>AND($A7&lt;&gt;"",$M7&gt;=0,$M7&lt;=7,$J7&lt;&gt;"Cumplido",$J7&lt;&gt;"No aplica")</formula>
    </cfRule>
    <cfRule type="expression" dxfId="39" priority="5">
      <formula>AND($A7&lt;&gt;"",$M7&gt;7,$J7&lt;&gt;"Cumplido",$J7&lt;&gt;"No aplica")</formula>
    </cfRule>
  </conditionalFormatting>
  <dataValidations count="1">
    <dataValidation type="list" allowBlank="1" sqref="J7:J381" xr:uid="{00000000-0002-0000-0200-000000000000}">
      <formula1>"Pendiente,En preparación,Cumplido,No aplica"</formula1>
      <formula2>0</formula2>
    </dataValidation>
  </dataValidations>
  <pageMargins left="0.4" right="0.4" top="0.5" bottom="0.5" header="0.511811023622047" footer="0.511811023622047"/>
  <pageSetup paperSize="9"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64"/>
  <sheetViews>
    <sheetView showGridLines="0" zoomScale="90" zoomScaleNormal="90" workbookViewId="0">
      <pane ySplit="5" topLeftCell="A6" activePane="bottomLeft" state="frozen"/>
      <selection pane="bottomLeft" activeCell="A3" sqref="A3:I4"/>
    </sheetView>
  </sheetViews>
  <sheetFormatPr baseColWidth="10" defaultColWidth="14.54296875" defaultRowHeight="14.5" x14ac:dyDescent="0.35"/>
  <cols>
    <col min="1" max="1" width="3.6328125" customWidth="1"/>
    <col min="2" max="8" width="24" customWidth="1"/>
    <col min="9" max="9" width="8.6328125" customWidth="1"/>
  </cols>
  <sheetData>
    <row r="1" spans="1:9" ht="30" customHeight="1" x14ac:dyDescent="0.35">
      <c r="A1" s="30"/>
      <c r="B1" s="30"/>
      <c r="C1" s="30"/>
      <c r="D1" s="30"/>
      <c r="E1" s="30"/>
      <c r="F1" s="30"/>
      <c r="G1" s="30"/>
      <c r="H1" s="30"/>
      <c r="I1" s="30"/>
    </row>
    <row r="2" spans="1:9" ht="30" customHeight="1" x14ac:dyDescent="0.35">
      <c r="A2" s="30"/>
      <c r="B2" s="30"/>
      <c r="C2" s="30"/>
      <c r="D2" s="30"/>
      <c r="E2" s="30"/>
      <c r="F2" s="30"/>
      <c r="G2" s="30"/>
      <c r="H2" s="30"/>
      <c r="I2" s="30"/>
    </row>
    <row r="3" spans="1:9" ht="30" customHeight="1" x14ac:dyDescent="0.35">
      <c r="A3" s="12" t="s">
        <v>51</v>
      </c>
      <c r="B3" s="12"/>
      <c r="C3" s="12"/>
      <c r="D3" s="12"/>
      <c r="E3" s="12"/>
      <c r="F3" s="12"/>
      <c r="G3" s="12"/>
      <c r="H3" s="12"/>
      <c r="I3" s="12"/>
    </row>
    <row r="4" spans="1:9" ht="12" customHeight="1" x14ac:dyDescent="0.35">
      <c r="A4" s="12"/>
      <c r="B4" s="12"/>
      <c r="C4" s="12"/>
      <c r="D4" s="12"/>
      <c r="E4" s="12"/>
      <c r="F4" s="12"/>
      <c r="G4" s="12"/>
      <c r="H4" s="12"/>
      <c r="I4" s="12"/>
    </row>
    <row r="5" spans="1:9" ht="4.5" customHeight="1" x14ac:dyDescent="0.35">
      <c r="A5" s="31"/>
      <c r="B5" s="31"/>
      <c r="C5" s="31"/>
      <c r="D5" s="31"/>
      <c r="E5" s="31"/>
      <c r="F5" s="31"/>
      <c r="G5" s="31"/>
      <c r="H5" s="31"/>
      <c r="I5" s="31"/>
    </row>
    <row r="6" spans="1:9" ht="19.5" customHeight="1" x14ac:dyDescent="0.35">
      <c r="A6" s="32" t="s">
        <v>52</v>
      </c>
      <c r="C6" s="53" t="s">
        <v>53</v>
      </c>
      <c r="D6" s="54" t="s">
        <v>54</v>
      </c>
      <c r="E6" s="55" t="s">
        <v>55</v>
      </c>
      <c r="G6" s="11" t="s">
        <v>56</v>
      </c>
      <c r="H6" s="11"/>
      <c r="I6" s="11"/>
    </row>
    <row r="7" spans="1:9" ht="15" customHeight="1" x14ac:dyDescent="0.35">
      <c r="A7" s="17"/>
      <c r="B7" s="17"/>
      <c r="C7" s="17"/>
      <c r="D7" s="17"/>
      <c r="E7" s="17"/>
      <c r="F7" s="17"/>
      <c r="G7" s="17"/>
      <c r="H7" s="17"/>
    </row>
    <row r="8" spans="1:9" ht="21.75" customHeight="1" x14ac:dyDescent="0.35">
      <c r="A8" s="17"/>
      <c r="B8" s="10" t="s">
        <v>57</v>
      </c>
      <c r="C8" s="10"/>
      <c r="D8" s="10"/>
      <c r="E8" s="10"/>
      <c r="F8" s="10"/>
      <c r="G8" s="10"/>
      <c r="H8" s="10"/>
    </row>
    <row r="9" spans="1:9" ht="15.75" customHeight="1" x14ac:dyDescent="0.35">
      <c r="A9" s="17"/>
      <c r="B9" s="56" t="s">
        <v>58</v>
      </c>
      <c r="C9" s="56" t="s">
        <v>59</v>
      </c>
      <c r="D9" s="56" t="s">
        <v>60</v>
      </c>
      <c r="E9" s="56" t="s">
        <v>61</v>
      </c>
      <c r="F9" s="56" t="s">
        <v>62</v>
      </c>
      <c r="G9" s="56" t="s">
        <v>63</v>
      </c>
      <c r="H9" s="56" t="s">
        <v>64</v>
      </c>
    </row>
    <row r="10" spans="1:9" ht="33.75" customHeight="1" x14ac:dyDescent="0.35">
      <c r="A10" s="17"/>
      <c r="B10" s="57"/>
      <c r="C10" s="57"/>
      <c r="D10" s="57"/>
      <c r="E10" s="58" t="str">
        <f t="array" ref="E10">1&amp;IF(COUNTIFS('Agenda 2026'!$Q$2:$Q$376,DATE(2026,1,1),'Agenda 2026'!$M$2:$M$376,1)&gt;=1,CHAR(10)&amp;IFERROR(INDEX('Agenda 2026'!$B$2:$B$376,MATCH(DATE(2026,1,1)*10+1,'Agenda 2026'!$S$2:$S$376,0)),""),"")&amp;IF(COUNTIFS('Agenda 2026'!$Q$2:$Q$376,DATE(2026,1,1),'Agenda 2026'!$M$2:$M$376,1)&gt;=2,CHAR(10)&amp;IFERROR(INDEX('Agenda 2026'!$B$2:$B$376,MATCH(DATE(2026,1,1)*10+2,'Agenda 2026'!$S$2:$S$376,0)),""),"")&amp;IF(COUNTIFS('Agenda 2026'!$Q$2:$Q$376,DATE(2026,1,1),'Agenda 2026'!$M$2:$M$376,1)&gt;=3,CHAR(10)&amp;IFERROR(INDEX('Agenda 2026'!$B$2:$B$376,MATCH(DATE(2026,1,1)*10+3,'Agenda 2026'!$S$2:$S$376,0)),""),"")&amp;IF(COUNTIFS('Agenda 2026'!$Q$2:$Q$376,DATE(2026,1,1),'Agenda 2026'!$M$2:$M$376,1)&gt;=4,CHAR(10)&amp;IFERROR(INDEX('Agenda 2026'!$B$2:$B$376,MATCH(DATE(2026,1,1)*10+4,'Agenda 2026'!$S$2:$S$376,0)),""),"")&amp;IF(COUNTIFS('Agenda 2026'!$Q$2:$Q$376,DATE(2026,1,1),'Agenda 2026'!$M$2:$M$376,1)&gt;=5,CHAR(10)&amp;IFERROR(INDEX('Agenda 2026'!$B$2:$B$376,MATCH(DATE(2026,1,1)*10+5,'Agenda 2026'!$S$2:$S$376,0)),""),"")&amp;IF(COUNTIFS('Agenda 2026'!$Q$2:$Q$376,DATE(2026,1,1),'Agenda 2026'!$M$2:$M$376,1)&gt;=6,CHAR(10)&amp;IFERROR(INDEX('Agenda 2026'!$B$2:$B$376,MATCH(DATE(2026,1,1)*10+6,'Agenda 2026'!$S$2:$S$376,0)),""),"")&amp;IF(COUNTIFS('Agenda 2026'!$Q$2:$Q$376,DATE(2026,1,1),'Agenda 2026'!$M$2:$M$376,1)&gt;=7,CHAR(10)&amp;IFERROR(INDEX('Agenda 2026'!$B$2:$B$376,MATCH(DATE(2026,1,1)*10+7,'Agenda 2026'!$S$2:$S$376,0)),""),"")&amp;IF(COUNTIFS('Agenda 2026'!$Q$2:$Q$376,DATE(2026,1,1),'Agenda 2026'!$M$2:$M$376,1)&gt;=8,CHAR(10)&amp;IFERROR(INDEX('Agenda 2026'!$B$2:$B$376,MATCH(DATE(2026,1,1)*10+8,'Agenda 2026'!$S$2:$S$376,0)),""),"")&amp;IF(COUNTIFS('Agenda 2026'!$Q$2:$Q$376,DATE(2026,1,1),'Agenda 2026'!$M$2:$M$376,1)&gt;=9,CHAR(10)&amp;IFERROR(INDEX('Agenda 2026'!$B$2:$B$376,MATCH(DATE(2026,1,1)*10+9,'Agenda 2026'!$S$2:$S$376,0)),""),"")&amp;IF(COUNTIFS('Agenda 2026'!$Q$2:$Q$376,DATE(2026,1,1),'Agenda 2026'!$M$2:$M$376,1)&gt;=10,CHAR(10)&amp;IFERROR(INDEX('Agenda 2026'!$B$2:$B$376,MATCH(DATE(2026,1,1)*10+10,'Agenda 2026'!$S$2:$S$376,0)),""),"")&amp;IF(COUNTIFS('Agenda 2026'!$Q$2:$Q$376,DATE(2026,1,1),'Agenda 2026'!$M$2:$M$376,1)&gt;=11,CHAR(10)&amp;IFERROR(INDEX('Agenda 2026'!$B$2:$B$376,MATCH(DATE(2026,1,1)*10+11,'Agenda 2026'!$S$2:$S$376,0)),""),"")&amp;IF(COUNTIFS('Agenda 2026'!$Q$2:$Q$376,DATE(2026,1,1),'Agenda 2026'!$M$2:$M$376,1)&gt;=12,CHAR(10)&amp;IFERROR(INDEX('Agenda 2026'!$B$2:$B$376,MATCH(DATE(2026,1,1)*10+12,'Agenda 2026'!$S$2:$S$376,0)),""),"")</f>
        <v>1</v>
      </c>
      <c r="F10" s="58" t="str">
        <f t="array" ref="F10">2&amp;IF(COUNTIFS('Agenda 2026'!$Q$2:$Q$376,DATE(2026,1,2),'Agenda 2026'!$M$2:$M$376,1)&gt;=1,CHAR(10)&amp;IFERROR(INDEX('Agenda 2026'!$B$2:$B$376,MATCH(DATE(2026,1,2)*10+1,'Agenda 2026'!$S$2:$S$376,0)),""),"")&amp;IF(COUNTIFS('Agenda 2026'!$Q$2:$Q$376,DATE(2026,1,2),'Agenda 2026'!$M$2:$M$376,1)&gt;=2,CHAR(10)&amp;IFERROR(INDEX('Agenda 2026'!$B$2:$B$376,MATCH(DATE(2026,1,2)*10+2,'Agenda 2026'!$S$2:$S$376,0)),""),"")&amp;IF(COUNTIFS('Agenda 2026'!$Q$2:$Q$376,DATE(2026,1,2),'Agenda 2026'!$M$2:$M$376,1)&gt;=3,CHAR(10)&amp;IFERROR(INDEX('Agenda 2026'!$B$2:$B$376,MATCH(DATE(2026,1,2)*10+3,'Agenda 2026'!$S$2:$S$376,0)),""),"")&amp;IF(COUNTIFS('Agenda 2026'!$Q$2:$Q$376,DATE(2026,1,2),'Agenda 2026'!$M$2:$M$376,1)&gt;=4,CHAR(10)&amp;IFERROR(INDEX('Agenda 2026'!$B$2:$B$376,MATCH(DATE(2026,1,2)*10+4,'Agenda 2026'!$S$2:$S$376,0)),""),"")&amp;IF(COUNTIFS('Agenda 2026'!$Q$2:$Q$376,DATE(2026,1,2),'Agenda 2026'!$M$2:$M$376,1)&gt;=5,CHAR(10)&amp;IFERROR(INDEX('Agenda 2026'!$B$2:$B$376,MATCH(DATE(2026,1,2)*10+5,'Agenda 2026'!$S$2:$S$376,0)),""),"")&amp;IF(COUNTIFS('Agenda 2026'!$Q$2:$Q$376,DATE(2026,1,2),'Agenda 2026'!$M$2:$M$376,1)&gt;=6,CHAR(10)&amp;IFERROR(INDEX('Agenda 2026'!$B$2:$B$376,MATCH(DATE(2026,1,2)*10+6,'Agenda 2026'!$S$2:$S$376,0)),""),"")&amp;IF(COUNTIFS('Agenda 2026'!$Q$2:$Q$376,DATE(2026,1,2),'Agenda 2026'!$M$2:$M$376,1)&gt;=7,CHAR(10)&amp;IFERROR(INDEX('Agenda 2026'!$B$2:$B$376,MATCH(DATE(2026,1,2)*10+7,'Agenda 2026'!$S$2:$S$376,0)),""),"")&amp;IF(COUNTIFS('Agenda 2026'!$Q$2:$Q$376,DATE(2026,1,2),'Agenda 2026'!$M$2:$M$376,1)&gt;=8,CHAR(10)&amp;IFERROR(INDEX('Agenda 2026'!$B$2:$B$376,MATCH(DATE(2026,1,2)*10+8,'Agenda 2026'!$S$2:$S$376,0)),""),"")&amp;IF(COUNTIFS('Agenda 2026'!$Q$2:$Q$376,DATE(2026,1,2),'Agenda 2026'!$M$2:$M$376,1)&gt;=9,CHAR(10)&amp;IFERROR(INDEX('Agenda 2026'!$B$2:$B$376,MATCH(DATE(2026,1,2)*10+9,'Agenda 2026'!$S$2:$S$376,0)),""),"")&amp;IF(COUNTIFS('Agenda 2026'!$Q$2:$Q$376,DATE(2026,1,2),'Agenda 2026'!$M$2:$M$376,1)&gt;=10,CHAR(10)&amp;IFERROR(INDEX('Agenda 2026'!$B$2:$B$376,MATCH(DATE(2026,1,2)*10+10,'Agenda 2026'!$S$2:$S$376,0)),""),"")&amp;IF(COUNTIFS('Agenda 2026'!$Q$2:$Q$376,DATE(2026,1,2),'Agenda 2026'!$M$2:$M$376,1)&gt;=11,CHAR(10)&amp;IFERROR(INDEX('Agenda 2026'!$B$2:$B$376,MATCH(DATE(2026,1,2)*10+11,'Agenda 2026'!$S$2:$S$376,0)),""),"")&amp;IF(COUNTIFS('Agenda 2026'!$Q$2:$Q$376,DATE(2026,1,2),'Agenda 2026'!$M$2:$M$376,1)&gt;=12,CHAR(10)&amp;IFERROR(INDEX('Agenda 2026'!$B$2:$B$376,MATCH(DATE(2026,1,2)*10+12,'Agenda 2026'!$S$2:$S$376,0)),""),"")</f>
        <v>2</v>
      </c>
      <c r="G10" s="58" t="str">
        <f t="array" ref="G10">3&amp;IF(COUNTIFS('Agenda 2026'!$Q$2:$Q$376,DATE(2026,1,3),'Agenda 2026'!$M$2:$M$376,1)&gt;=1,CHAR(10)&amp;IFERROR(INDEX('Agenda 2026'!$B$2:$B$376,MATCH(DATE(2026,1,3)*10+1,'Agenda 2026'!$S$2:$S$376,0)),""),"")&amp;IF(COUNTIFS('Agenda 2026'!$Q$2:$Q$376,DATE(2026,1,3),'Agenda 2026'!$M$2:$M$376,1)&gt;=2,CHAR(10)&amp;IFERROR(INDEX('Agenda 2026'!$B$2:$B$376,MATCH(DATE(2026,1,3)*10+2,'Agenda 2026'!$S$2:$S$376,0)),""),"")&amp;IF(COUNTIFS('Agenda 2026'!$Q$2:$Q$376,DATE(2026,1,3),'Agenda 2026'!$M$2:$M$376,1)&gt;=3,CHAR(10)&amp;IFERROR(INDEX('Agenda 2026'!$B$2:$B$376,MATCH(DATE(2026,1,3)*10+3,'Agenda 2026'!$S$2:$S$376,0)),""),"")&amp;IF(COUNTIFS('Agenda 2026'!$Q$2:$Q$376,DATE(2026,1,3),'Agenda 2026'!$M$2:$M$376,1)&gt;=4,CHAR(10)&amp;IFERROR(INDEX('Agenda 2026'!$B$2:$B$376,MATCH(DATE(2026,1,3)*10+4,'Agenda 2026'!$S$2:$S$376,0)),""),"")&amp;IF(COUNTIFS('Agenda 2026'!$Q$2:$Q$376,DATE(2026,1,3),'Agenda 2026'!$M$2:$M$376,1)&gt;=5,CHAR(10)&amp;IFERROR(INDEX('Agenda 2026'!$B$2:$B$376,MATCH(DATE(2026,1,3)*10+5,'Agenda 2026'!$S$2:$S$376,0)),""),"")&amp;IF(COUNTIFS('Agenda 2026'!$Q$2:$Q$376,DATE(2026,1,3),'Agenda 2026'!$M$2:$M$376,1)&gt;=6,CHAR(10)&amp;IFERROR(INDEX('Agenda 2026'!$B$2:$B$376,MATCH(DATE(2026,1,3)*10+6,'Agenda 2026'!$S$2:$S$376,0)),""),"")&amp;IF(COUNTIFS('Agenda 2026'!$Q$2:$Q$376,DATE(2026,1,3),'Agenda 2026'!$M$2:$M$376,1)&gt;=7,CHAR(10)&amp;IFERROR(INDEX('Agenda 2026'!$B$2:$B$376,MATCH(DATE(2026,1,3)*10+7,'Agenda 2026'!$S$2:$S$376,0)),""),"")&amp;IF(COUNTIFS('Agenda 2026'!$Q$2:$Q$376,DATE(2026,1,3),'Agenda 2026'!$M$2:$M$376,1)&gt;=8,CHAR(10)&amp;IFERROR(INDEX('Agenda 2026'!$B$2:$B$376,MATCH(DATE(2026,1,3)*10+8,'Agenda 2026'!$S$2:$S$376,0)),""),"")&amp;IF(COUNTIFS('Agenda 2026'!$Q$2:$Q$376,DATE(2026,1,3),'Agenda 2026'!$M$2:$M$376,1)&gt;=9,CHAR(10)&amp;IFERROR(INDEX('Agenda 2026'!$B$2:$B$376,MATCH(DATE(2026,1,3)*10+9,'Agenda 2026'!$S$2:$S$376,0)),""),"")&amp;IF(COUNTIFS('Agenda 2026'!$Q$2:$Q$376,DATE(2026,1,3),'Agenda 2026'!$M$2:$M$376,1)&gt;=10,CHAR(10)&amp;IFERROR(INDEX('Agenda 2026'!$B$2:$B$376,MATCH(DATE(2026,1,3)*10+10,'Agenda 2026'!$S$2:$S$376,0)),""),"")&amp;IF(COUNTIFS('Agenda 2026'!$Q$2:$Q$376,DATE(2026,1,3),'Agenda 2026'!$M$2:$M$376,1)&gt;=11,CHAR(10)&amp;IFERROR(INDEX('Agenda 2026'!$B$2:$B$376,MATCH(DATE(2026,1,3)*10+11,'Agenda 2026'!$S$2:$S$376,0)),""),"")&amp;IF(COUNTIFS('Agenda 2026'!$Q$2:$Q$376,DATE(2026,1,3),'Agenda 2026'!$M$2:$M$376,1)&gt;=12,CHAR(10)&amp;IFERROR(INDEX('Agenda 2026'!$B$2:$B$376,MATCH(DATE(2026,1,3)*10+12,'Agenda 2026'!$S$2:$S$376,0)),""),"")</f>
        <v>3</v>
      </c>
      <c r="H10" s="58" t="str">
        <f t="array" ref="H10">4&amp;IF(COUNTIFS('Agenda 2026'!$Q$2:$Q$376,DATE(2026,1,4),'Agenda 2026'!$M$2:$M$376,1)&gt;=1,CHAR(10)&amp;IFERROR(INDEX('Agenda 2026'!$B$2:$B$376,MATCH(DATE(2026,1,4)*10+1,'Agenda 2026'!$S$2:$S$376,0)),""),"")&amp;IF(COUNTIFS('Agenda 2026'!$Q$2:$Q$376,DATE(2026,1,4),'Agenda 2026'!$M$2:$M$376,1)&gt;=2,CHAR(10)&amp;IFERROR(INDEX('Agenda 2026'!$B$2:$B$376,MATCH(DATE(2026,1,4)*10+2,'Agenda 2026'!$S$2:$S$376,0)),""),"")&amp;IF(COUNTIFS('Agenda 2026'!$Q$2:$Q$376,DATE(2026,1,4),'Agenda 2026'!$M$2:$M$376,1)&gt;=3,CHAR(10)&amp;IFERROR(INDEX('Agenda 2026'!$B$2:$B$376,MATCH(DATE(2026,1,4)*10+3,'Agenda 2026'!$S$2:$S$376,0)),""),"")&amp;IF(COUNTIFS('Agenda 2026'!$Q$2:$Q$376,DATE(2026,1,4),'Agenda 2026'!$M$2:$M$376,1)&gt;=4,CHAR(10)&amp;IFERROR(INDEX('Agenda 2026'!$B$2:$B$376,MATCH(DATE(2026,1,4)*10+4,'Agenda 2026'!$S$2:$S$376,0)),""),"")&amp;IF(COUNTIFS('Agenda 2026'!$Q$2:$Q$376,DATE(2026,1,4),'Agenda 2026'!$M$2:$M$376,1)&gt;=5,CHAR(10)&amp;IFERROR(INDEX('Agenda 2026'!$B$2:$B$376,MATCH(DATE(2026,1,4)*10+5,'Agenda 2026'!$S$2:$S$376,0)),""),"")&amp;IF(COUNTIFS('Agenda 2026'!$Q$2:$Q$376,DATE(2026,1,4),'Agenda 2026'!$M$2:$M$376,1)&gt;=6,CHAR(10)&amp;IFERROR(INDEX('Agenda 2026'!$B$2:$B$376,MATCH(DATE(2026,1,4)*10+6,'Agenda 2026'!$S$2:$S$376,0)),""),"")&amp;IF(COUNTIFS('Agenda 2026'!$Q$2:$Q$376,DATE(2026,1,4),'Agenda 2026'!$M$2:$M$376,1)&gt;=7,CHAR(10)&amp;IFERROR(INDEX('Agenda 2026'!$B$2:$B$376,MATCH(DATE(2026,1,4)*10+7,'Agenda 2026'!$S$2:$S$376,0)),""),"")&amp;IF(COUNTIFS('Agenda 2026'!$Q$2:$Q$376,DATE(2026,1,4),'Agenda 2026'!$M$2:$M$376,1)&gt;=8,CHAR(10)&amp;IFERROR(INDEX('Agenda 2026'!$B$2:$B$376,MATCH(DATE(2026,1,4)*10+8,'Agenda 2026'!$S$2:$S$376,0)),""),"")&amp;IF(COUNTIFS('Agenda 2026'!$Q$2:$Q$376,DATE(2026,1,4),'Agenda 2026'!$M$2:$M$376,1)&gt;=9,CHAR(10)&amp;IFERROR(INDEX('Agenda 2026'!$B$2:$B$376,MATCH(DATE(2026,1,4)*10+9,'Agenda 2026'!$S$2:$S$376,0)),""),"")&amp;IF(COUNTIFS('Agenda 2026'!$Q$2:$Q$376,DATE(2026,1,4),'Agenda 2026'!$M$2:$M$376,1)&gt;=10,CHAR(10)&amp;IFERROR(INDEX('Agenda 2026'!$B$2:$B$376,MATCH(DATE(2026,1,4)*10+10,'Agenda 2026'!$S$2:$S$376,0)),""),"")&amp;IF(COUNTIFS('Agenda 2026'!$Q$2:$Q$376,DATE(2026,1,4),'Agenda 2026'!$M$2:$M$376,1)&gt;=11,CHAR(10)&amp;IFERROR(INDEX('Agenda 2026'!$B$2:$B$376,MATCH(DATE(2026,1,4)*10+11,'Agenda 2026'!$S$2:$S$376,0)),""),"")&amp;IF(COUNTIFS('Agenda 2026'!$Q$2:$Q$376,DATE(2026,1,4),'Agenda 2026'!$M$2:$M$376,1)&gt;=12,CHAR(10)&amp;IFERROR(INDEX('Agenda 2026'!$B$2:$B$376,MATCH(DATE(2026,1,4)*10+12,'Agenda 2026'!$S$2:$S$376,0)),""),"")</f>
        <v>4</v>
      </c>
    </row>
    <row r="11" spans="1:9" ht="45.75" customHeight="1" x14ac:dyDescent="0.35">
      <c r="A11" s="17"/>
      <c r="B11" s="58" t="str">
        <f t="array" ref="B11">5&amp;IF(COUNTIFS('Agenda 2026'!$Q$2:$Q$376,DATE(2026,1,5),'Agenda 2026'!$M$2:$M$376,1)&gt;=1,CHAR(10)&amp;IFERROR(INDEX('Agenda 2026'!$B$2:$B$376,MATCH(DATE(2026,1,5)*10+1,'Agenda 2026'!$S$2:$S$376,0)),""),"")&amp;IF(COUNTIFS('Agenda 2026'!$Q$2:$Q$376,DATE(2026,1,5),'Agenda 2026'!$M$2:$M$376,1)&gt;=2,CHAR(10)&amp;IFERROR(INDEX('Agenda 2026'!$B$2:$B$376,MATCH(DATE(2026,1,5)*10+2,'Agenda 2026'!$S$2:$S$376,0)),""),"")&amp;IF(COUNTIFS('Agenda 2026'!$Q$2:$Q$376,DATE(2026,1,5),'Agenda 2026'!$M$2:$M$376,1)&gt;=3,CHAR(10)&amp;IFERROR(INDEX('Agenda 2026'!$B$2:$B$376,MATCH(DATE(2026,1,5)*10+3,'Agenda 2026'!$S$2:$S$376,0)),""),"")&amp;IF(COUNTIFS('Agenda 2026'!$Q$2:$Q$376,DATE(2026,1,5),'Agenda 2026'!$M$2:$M$376,1)&gt;=4,CHAR(10)&amp;IFERROR(INDEX('Agenda 2026'!$B$2:$B$376,MATCH(DATE(2026,1,5)*10+4,'Agenda 2026'!$S$2:$S$376,0)),""),"")&amp;IF(COUNTIFS('Agenda 2026'!$Q$2:$Q$376,DATE(2026,1,5),'Agenda 2026'!$M$2:$M$376,1)&gt;=5,CHAR(10)&amp;IFERROR(INDEX('Agenda 2026'!$B$2:$B$376,MATCH(DATE(2026,1,5)*10+5,'Agenda 2026'!$S$2:$S$376,0)),""),"")&amp;IF(COUNTIFS('Agenda 2026'!$Q$2:$Q$376,DATE(2026,1,5),'Agenda 2026'!$M$2:$M$376,1)&gt;=6,CHAR(10)&amp;IFERROR(INDEX('Agenda 2026'!$B$2:$B$376,MATCH(DATE(2026,1,5)*10+6,'Agenda 2026'!$S$2:$S$376,0)),""),"")&amp;IF(COUNTIFS('Agenda 2026'!$Q$2:$Q$376,DATE(2026,1,5),'Agenda 2026'!$M$2:$M$376,1)&gt;=7,CHAR(10)&amp;IFERROR(INDEX('Agenda 2026'!$B$2:$B$376,MATCH(DATE(2026,1,5)*10+7,'Agenda 2026'!$S$2:$S$376,0)),""),"")&amp;IF(COUNTIFS('Agenda 2026'!$Q$2:$Q$376,DATE(2026,1,5),'Agenda 2026'!$M$2:$M$376,1)&gt;=8,CHAR(10)&amp;IFERROR(INDEX('Agenda 2026'!$B$2:$B$376,MATCH(DATE(2026,1,5)*10+8,'Agenda 2026'!$S$2:$S$376,0)),""),"")&amp;IF(COUNTIFS('Agenda 2026'!$Q$2:$Q$376,DATE(2026,1,5),'Agenda 2026'!$M$2:$M$376,1)&gt;=9,CHAR(10)&amp;IFERROR(INDEX('Agenda 2026'!$B$2:$B$376,MATCH(DATE(2026,1,5)*10+9,'Agenda 2026'!$S$2:$S$376,0)),""),"")&amp;IF(COUNTIFS('Agenda 2026'!$Q$2:$Q$376,DATE(2026,1,5),'Agenda 2026'!$M$2:$M$376,1)&gt;=10,CHAR(10)&amp;IFERROR(INDEX('Agenda 2026'!$B$2:$B$376,MATCH(DATE(2026,1,5)*10+10,'Agenda 2026'!$S$2:$S$376,0)),""),"")&amp;IF(COUNTIFS('Agenda 2026'!$Q$2:$Q$376,DATE(2026,1,5),'Agenda 2026'!$M$2:$M$376,1)&gt;=11,CHAR(10)&amp;IFERROR(INDEX('Agenda 2026'!$B$2:$B$376,MATCH(DATE(2026,1,5)*10+11,'Agenda 2026'!$S$2:$S$376,0)),""),"")&amp;IF(COUNTIFS('Agenda 2026'!$Q$2:$Q$376,DATE(2026,1,5),'Agenda 2026'!$M$2:$M$376,1)&gt;=12,CHAR(10)&amp;IFERROR(INDEX('Agenda 2026'!$B$2:$B$376,MATCH(DATE(2026,1,5)*10+12,'Agenda 2026'!$S$2:$S$376,0)),""),"")</f>
        <v>5</v>
      </c>
      <c r="C11" s="58" t="str">
        <f t="array" ref="C11">6&amp;IF(COUNTIFS('Agenda 2026'!$Q$2:$Q$376,DATE(2026,1,6),'Agenda 2026'!$M$2:$M$376,1)&gt;=1,CHAR(10)&amp;IFERROR(INDEX('Agenda 2026'!$B$2:$B$376,MATCH(DATE(2026,1,6)*10+1,'Agenda 2026'!$S$2:$S$376,0)),""),"")&amp;IF(COUNTIFS('Agenda 2026'!$Q$2:$Q$376,DATE(2026,1,6),'Agenda 2026'!$M$2:$M$376,1)&gt;=2,CHAR(10)&amp;IFERROR(INDEX('Agenda 2026'!$B$2:$B$376,MATCH(DATE(2026,1,6)*10+2,'Agenda 2026'!$S$2:$S$376,0)),""),"")&amp;IF(COUNTIFS('Agenda 2026'!$Q$2:$Q$376,DATE(2026,1,6),'Agenda 2026'!$M$2:$M$376,1)&gt;=3,CHAR(10)&amp;IFERROR(INDEX('Agenda 2026'!$B$2:$B$376,MATCH(DATE(2026,1,6)*10+3,'Agenda 2026'!$S$2:$S$376,0)),""),"")&amp;IF(COUNTIFS('Agenda 2026'!$Q$2:$Q$376,DATE(2026,1,6),'Agenda 2026'!$M$2:$M$376,1)&gt;=4,CHAR(10)&amp;IFERROR(INDEX('Agenda 2026'!$B$2:$B$376,MATCH(DATE(2026,1,6)*10+4,'Agenda 2026'!$S$2:$S$376,0)),""),"")&amp;IF(COUNTIFS('Agenda 2026'!$Q$2:$Q$376,DATE(2026,1,6),'Agenda 2026'!$M$2:$M$376,1)&gt;=5,CHAR(10)&amp;IFERROR(INDEX('Agenda 2026'!$B$2:$B$376,MATCH(DATE(2026,1,6)*10+5,'Agenda 2026'!$S$2:$S$376,0)),""),"")&amp;IF(COUNTIFS('Agenda 2026'!$Q$2:$Q$376,DATE(2026,1,6),'Agenda 2026'!$M$2:$M$376,1)&gt;=6,CHAR(10)&amp;IFERROR(INDEX('Agenda 2026'!$B$2:$B$376,MATCH(DATE(2026,1,6)*10+6,'Agenda 2026'!$S$2:$S$376,0)),""),"")&amp;IF(COUNTIFS('Agenda 2026'!$Q$2:$Q$376,DATE(2026,1,6),'Agenda 2026'!$M$2:$M$376,1)&gt;=7,CHAR(10)&amp;IFERROR(INDEX('Agenda 2026'!$B$2:$B$376,MATCH(DATE(2026,1,6)*10+7,'Agenda 2026'!$S$2:$S$376,0)),""),"")&amp;IF(COUNTIFS('Agenda 2026'!$Q$2:$Q$376,DATE(2026,1,6),'Agenda 2026'!$M$2:$M$376,1)&gt;=8,CHAR(10)&amp;IFERROR(INDEX('Agenda 2026'!$B$2:$B$376,MATCH(DATE(2026,1,6)*10+8,'Agenda 2026'!$S$2:$S$376,0)),""),"")&amp;IF(COUNTIFS('Agenda 2026'!$Q$2:$Q$376,DATE(2026,1,6),'Agenda 2026'!$M$2:$M$376,1)&gt;=9,CHAR(10)&amp;IFERROR(INDEX('Agenda 2026'!$B$2:$B$376,MATCH(DATE(2026,1,6)*10+9,'Agenda 2026'!$S$2:$S$376,0)),""),"")&amp;IF(COUNTIFS('Agenda 2026'!$Q$2:$Q$376,DATE(2026,1,6),'Agenda 2026'!$M$2:$M$376,1)&gt;=10,CHAR(10)&amp;IFERROR(INDEX('Agenda 2026'!$B$2:$B$376,MATCH(DATE(2026,1,6)*10+10,'Agenda 2026'!$S$2:$S$376,0)),""),"")&amp;IF(COUNTIFS('Agenda 2026'!$Q$2:$Q$376,DATE(2026,1,6),'Agenda 2026'!$M$2:$M$376,1)&gt;=11,CHAR(10)&amp;IFERROR(INDEX('Agenda 2026'!$B$2:$B$376,MATCH(DATE(2026,1,6)*10+11,'Agenda 2026'!$S$2:$S$376,0)),""),"")&amp;IF(COUNTIFS('Agenda 2026'!$Q$2:$Q$376,DATE(2026,1,6),'Agenda 2026'!$M$2:$M$376,1)&gt;=12,CHAR(10)&amp;IFERROR(INDEX('Agenda 2026'!$B$2:$B$376,MATCH(DATE(2026,1,6)*10+12,'Agenda 2026'!$S$2:$S$376,0)),""),"")</f>
        <v>6</v>
      </c>
      <c r="D11" s="58" t="str">
        <f t="array" ref="D11">7&amp;IF(COUNTIFS('Agenda 2026'!$Q$2:$Q$376,DATE(2026,1,7),'Agenda 2026'!$M$2:$M$376,1)&gt;=1,CHAR(10)&amp;IFERROR(INDEX('Agenda 2026'!$B$2:$B$376,MATCH(DATE(2026,1,7)*10+1,'Agenda 2026'!$S$2:$S$376,0)),""),"")&amp;IF(COUNTIFS('Agenda 2026'!$Q$2:$Q$376,DATE(2026,1,7),'Agenda 2026'!$M$2:$M$376,1)&gt;=2,CHAR(10)&amp;IFERROR(INDEX('Agenda 2026'!$B$2:$B$376,MATCH(DATE(2026,1,7)*10+2,'Agenda 2026'!$S$2:$S$376,0)),""),"")&amp;IF(COUNTIFS('Agenda 2026'!$Q$2:$Q$376,DATE(2026,1,7),'Agenda 2026'!$M$2:$M$376,1)&gt;=3,CHAR(10)&amp;IFERROR(INDEX('Agenda 2026'!$B$2:$B$376,MATCH(DATE(2026,1,7)*10+3,'Agenda 2026'!$S$2:$S$376,0)),""),"")&amp;IF(COUNTIFS('Agenda 2026'!$Q$2:$Q$376,DATE(2026,1,7),'Agenda 2026'!$M$2:$M$376,1)&gt;=4,CHAR(10)&amp;IFERROR(INDEX('Agenda 2026'!$B$2:$B$376,MATCH(DATE(2026,1,7)*10+4,'Agenda 2026'!$S$2:$S$376,0)),""),"")&amp;IF(COUNTIFS('Agenda 2026'!$Q$2:$Q$376,DATE(2026,1,7),'Agenda 2026'!$M$2:$M$376,1)&gt;=5,CHAR(10)&amp;IFERROR(INDEX('Agenda 2026'!$B$2:$B$376,MATCH(DATE(2026,1,7)*10+5,'Agenda 2026'!$S$2:$S$376,0)),""),"")&amp;IF(COUNTIFS('Agenda 2026'!$Q$2:$Q$376,DATE(2026,1,7),'Agenda 2026'!$M$2:$M$376,1)&gt;=6,CHAR(10)&amp;IFERROR(INDEX('Agenda 2026'!$B$2:$B$376,MATCH(DATE(2026,1,7)*10+6,'Agenda 2026'!$S$2:$S$376,0)),""),"")&amp;IF(COUNTIFS('Agenda 2026'!$Q$2:$Q$376,DATE(2026,1,7),'Agenda 2026'!$M$2:$M$376,1)&gt;=7,CHAR(10)&amp;IFERROR(INDEX('Agenda 2026'!$B$2:$B$376,MATCH(DATE(2026,1,7)*10+7,'Agenda 2026'!$S$2:$S$376,0)),""),"")&amp;IF(COUNTIFS('Agenda 2026'!$Q$2:$Q$376,DATE(2026,1,7),'Agenda 2026'!$M$2:$M$376,1)&gt;=8,CHAR(10)&amp;IFERROR(INDEX('Agenda 2026'!$B$2:$B$376,MATCH(DATE(2026,1,7)*10+8,'Agenda 2026'!$S$2:$S$376,0)),""),"")&amp;IF(COUNTIFS('Agenda 2026'!$Q$2:$Q$376,DATE(2026,1,7),'Agenda 2026'!$M$2:$M$376,1)&gt;=9,CHAR(10)&amp;IFERROR(INDEX('Agenda 2026'!$B$2:$B$376,MATCH(DATE(2026,1,7)*10+9,'Agenda 2026'!$S$2:$S$376,0)),""),"")&amp;IF(COUNTIFS('Agenda 2026'!$Q$2:$Q$376,DATE(2026,1,7),'Agenda 2026'!$M$2:$M$376,1)&gt;=10,CHAR(10)&amp;IFERROR(INDEX('Agenda 2026'!$B$2:$B$376,MATCH(DATE(2026,1,7)*10+10,'Agenda 2026'!$S$2:$S$376,0)),""),"")&amp;IF(COUNTIFS('Agenda 2026'!$Q$2:$Q$376,DATE(2026,1,7),'Agenda 2026'!$M$2:$M$376,1)&gt;=11,CHAR(10)&amp;IFERROR(INDEX('Agenda 2026'!$B$2:$B$376,MATCH(DATE(2026,1,7)*10+11,'Agenda 2026'!$S$2:$S$376,0)),""),"")&amp;IF(COUNTIFS('Agenda 2026'!$Q$2:$Q$376,DATE(2026,1,7),'Agenda 2026'!$M$2:$M$376,1)&gt;=12,CHAR(10)&amp;IFERROR(INDEX('Agenda 2026'!$B$2:$B$376,MATCH(DATE(2026,1,7)*10+12,'Agenda 2026'!$S$2:$S$376,0)),""),"")</f>
        <v>7</v>
      </c>
      <c r="E11" s="58" t="str">
        <f t="array" ref="E11">8&amp;IF(COUNTIFS('Agenda 2026'!$Q$2:$Q$376,DATE(2026,1,8),'Agenda 2026'!$M$2:$M$376,1)&gt;=1,CHAR(10)&amp;IFERROR(INDEX('Agenda 2026'!$B$2:$B$376,MATCH(DATE(2026,1,8)*10+1,'Agenda 2026'!$S$2:$S$376,0)),""),"")&amp;IF(COUNTIFS('Agenda 2026'!$Q$2:$Q$376,DATE(2026,1,8),'Agenda 2026'!$M$2:$M$376,1)&gt;=2,CHAR(10)&amp;IFERROR(INDEX('Agenda 2026'!$B$2:$B$376,MATCH(DATE(2026,1,8)*10+2,'Agenda 2026'!$S$2:$S$376,0)),""),"")&amp;IF(COUNTIFS('Agenda 2026'!$Q$2:$Q$376,DATE(2026,1,8),'Agenda 2026'!$M$2:$M$376,1)&gt;=3,CHAR(10)&amp;IFERROR(INDEX('Agenda 2026'!$B$2:$B$376,MATCH(DATE(2026,1,8)*10+3,'Agenda 2026'!$S$2:$S$376,0)),""),"")&amp;IF(COUNTIFS('Agenda 2026'!$Q$2:$Q$376,DATE(2026,1,8),'Agenda 2026'!$M$2:$M$376,1)&gt;=4,CHAR(10)&amp;IFERROR(INDEX('Agenda 2026'!$B$2:$B$376,MATCH(DATE(2026,1,8)*10+4,'Agenda 2026'!$S$2:$S$376,0)),""),"")&amp;IF(COUNTIFS('Agenda 2026'!$Q$2:$Q$376,DATE(2026,1,8),'Agenda 2026'!$M$2:$M$376,1)&gt;=5,CHAR(10)&amp;IFERROR(INDEX('Agenda 2026'!$B$2:$B$376,MATCH(DATE(2026,1,8)*10+5,'Agenda 2026'!$S$2:$S$376,0)),""),"")&amp;IF(COUNTIFS('Agenda 2026'!$Q$2:$Q$376,DATE(2026,1,8),'Agenda 2026'!$M$2:$M$376,1)&gt;=6,CHAR(10)&amp;IFERROR(INDEX('Agenda 2026'!$B$2:$B$376,MATCH(DATE(2026,1,8)*10+6,'Agenda 2026'!$S$2:$S$376,0)),""),"")&amp;IF(COUNTIFS('Agenda 2026'!$Q$2:$Q$376,DATE(2026,1,8),'Agenda 2026'!$M$2:$M$376,1)&gt;=7,CHAR(10)&amp;IFERROR(INDEX('Agenda 2026'!$B$2:$B$376,MATCH(DATE(2026,1,8)*10+7,'Agenda 2026'!$S$2:$S$376,0)),""),"")&amp;IF(COUNTIFS('Agenda 2026'!$Q$2:$Q$376,DATE(2026,1,8),'Agenda 2026'!$M$2:$M$376,1)&gt;=8,CHAR(10)&amp;IFERROR(INDEX('Agenda 2026'!$B$2:$B$376,MATCH(DATE(2026,1,8)*10+8,'Agenda 2026'!$S$2:$S$376,0)),""),"")&amp;IF(COUNTIFS('Agenda 2026'!$Q$2:$Q$376,DATE(2026,1,8),'Agenda 2026'!$M$2:$M$376,1)&gt;=9,CHAR(10)&amp;IFERROR(INDEX('Agenda 2026'!$B$2:$B$376,MATCH(DATE(2026,1,8)*10+9,'Agenda 2026'!$S$2:$S$376,0)),""),"")&amp;IF(COUNTIFS('Agenda 2026'!$Q$2:$Q$376,DATE(2026,1,8),'Agenda 2026'!$M$2:$M$376,1)&gt;=10,CHAR(10)&amp;IFERROR(INDEX('Agenda 2026'!$B$2:$B$376,MATCH(DATE(2026,1,8)*10+10,'Agenda 2026'!$S$2:$S$376,0)),""),"")&amp;IF(COUNTIFS('Agenda 2026'!$Q$2:$Q$376,DATE(2026,1,8),'Agenda 2026'!$M$2:$M$376,1)&gt;=11,CHAR(10)&amp;IFERROR(INDEX('Agenda 2026'!$B$2:$B$376,MATCH(DATE(2026,1,8)*10+11,'Agenda 2026'!$S$2:$S$376,0)),""),"")&amp;IF(COUNTIFS('Agenda 2026'!$Q$2:$Q$376,DATE(2026,1,8),'Agenda 2026'!$M$2:$M$376,1)&gt;=12,CHAR(10)&amp;IFERROR(INDEX('Agenda 2026'!$B$2:$B$376,MATCH(DATE(2026,1,8)*10+12,'Agenda 2026'!$S$2:$S$376,0)),""),"")</f>
        <v>8</v>
      </c>
      <c r="F11" s="58" t="str">
        <f t="array" ref="F11">9&amp;IF(COUNTIFS('Agenda 2026'!$Q$2:$Q$376,DATE(2026,1,9),'Agenda 2026'!$M$2:$M$376,1)&gt;=1,CHAR(10)&amp;IFERROR(INDEX('Agenda 2026'!$B$2:$B$376,MATCH(DATE(2026,1,9)*10+1,'Agenda 2026'!$S$2:$S$376,0)),""),"")&amp;IF(COUNTIFS('Agenda 2026'!$Q$2:$Q$376,DATE(2026,1,9),'Agenda 2026'!$M$2:$M$376,1)&gt;=2,CHAR(10)&amp;IFERROR(INDEX('Agenda 2026'!$B$2:$B$376,MATCH(DATE(2026,1,9)*10+2,'Agenda 2026'!$S$2:$S$376,0)),""),"")&amp;IF(COUNTIFS('Agenda 2026'!$Q$2:$Q$376,DATE(2026,1,9),'Agenda 2026'!$M$2:$M$376,1)&gt;=3,CHAR(10)&amp;IFERROR(INDEX('Agenda 2026'!$B$2:$B$376,MATCH(DATE(2026,1,9)*10+3,'Agenda 2026'!$S$2:$S$376,0)),""),"")&amp;IF(COUNTIFS('Agenda 2026'!$Q$2:$Q$376,DATE(2026,1,9),'Agenda 2026'!$M$2:$M$376,1)&gt;=4,CHAR(10)&amp;IFERROR(INDEX('Agenda 2026'!$B$2:$B$376,MATCH(DATE(2026,1,9)*10+4,'Agenda 2026'!$S$2:$S$376,0)),""),"")&amp;IF(COUNTIFS('Agenda 2026'!$Q$2:$Q$376,DATE(2026,1,9),'Agenda 2026'!$M$2:$M$376,1)&gt;=5,CHAR(10)&amp;IFERROR(INDEX('Agenda 2026'!$B$2:$B$376,MATCH(DATE(2026,1,9)*10+5,'Agenda 2026'!$S$2:$S$376,0)),""),"")&amp;IF(COUNTIFS('Agenda 2026'!$Q$2:$Q$376,DATE(2026,1,9),'Agenda 2026'!$M$2:$M$376,1)&gt;=6,CHAR(10)&amp;IFERROR(INDEX('Agenda 2026'!$B$2:$B$376,MATCH(DATE(2026,1,9)*10+6,'Agenda 2026'!$S$2:$S$376,0)),""),"")&amp;IF(COUNTIFS('Agenda 2026'!$Q$2:$Q$376,DATE(2026,1,9),'Agenda 2026'!$M$2:$M$376,1)&gt;=7,CHAR(10)&amp;IFERROR(INDEX('Agenda 2026'!$B$2:$B$376,MATCH(DATE(2026,1,9)*10+7,'Agenda 2026'!$S$2:$S$376,0)),""),"")&amp;IF(COUNTIFS('Agenda 2026'!$Q$2:$Q$376,DATE(2026,1,9),'Agenda 2026'!$M$2:$M$376,1)&gt;=8,CHAR(10)&amp;IFERROR(INDEX('Agenda 2026'!$B$2:$B$376,MATCH(DATE(2026,1,9)*10+8,'Agenda 2026'!$S$2:$S$376,0)),""),"")&amp;IF(COUNTIFS('Agenda 2026'!$Q$2:$Q$376,DATE(2026,1,9),'Agenda 2026'!$M$2:$M$376,1)&gt;=9,CHAR(10)&amp;IFERROR(INDEX('Agenda 2026'!$B$2:$B$376,MATCH(DATE(2026,1,9)*10+9,'Agenda 2026'!$S$2:$S$376,0)),""),"")&amp;IF(COUNTIFS('Agenda 2026'!$Q$2:$Q$376,DATE(2026,1,9),'Agenda 2026'!$M$2:$M$376,1)&gt;=10,CHAR(10)&amp;IFERROR(INDEX('Agenda 2026'!$B$2:$B$376,MATCH(DATE(2026,1,9)*10+10,'Agenda 2026'!$S$2:$S$376,0)),""),"")&amp;IF(COUNTIFS('Agenda 2026'!$Q$2:$Q$376,DATE(2026,1,9),'Agenda 2026'!$M$2:$M$376,1)&gt;=11,CHAR(10)&amp;IFERROR(INDEX('Agenda 2026'!$B$2:$B$376,MATCH(DATE(2026,1,9)*10+11,'Agenda 2026'!$S$2:$S$376,0)),""),"")&amp;IF(COUNTIFS('Agenda 2026'!$Q$2:$Q$376,DATE(2026,1,9),'Agenda 2026'!$M$2:$M$376,1)&gt;=12,CHAR(10)&amp;IFERROR(INDEX('Agenda 2026'!$B$2:$B$376,MATCH(DATE(2026,1,9)*10+12,'Agenda 2026'!$S$2:$S$376,0)),""),"")</f>
        <v>9</v>
      </c>
      <c r="G11" s="58" t="str">
        <f t="array" ref="G11">10&amp;IF(COUNTIFS('Agenda 2026'!$Q$2:$Q$376,DATE(2026,1,10),'Agenda 2026'!$M$2:$M$376,1)&gt;=1,CHAR(10)&amp;IFERROR(INDEX('Agenda 2026'!$B$2:$B$376,MATCH(DATE(2026,1,10)*10+1,'Agenda 2026'!$S$2:$S$376,0)),""),"")&amp;IF(COUNTIFS('Agenda 2026'!$Q$2:$Q$376,DATE(2026,1,10),'Agenda 2026'!$M$2:$M$376,1)&gt;=2,CHAR(10)&amp;IFERROR(INDEX('Agenda 2026'!$B$2:$B$376,MATCH(DATE(2026,1,10)*10+2,'Agenda 2026'!$S$2:$S$376,0)),""),"")&amp;IF(COUNTIFS('Agenda 2026'!$Q$2:$Q$376,DATE(2026,1,10),'Agenda 2026'!$M$2:$M$376,1)&gt;=3,CHAR(10)&amp;IFERROR(INDEX('Agenda 2026'!$B$2:$B$376,MATCH(DATE(2026,1,10)*10+3,'Agenda 2026'!$S$2:$S$376,0)),""),"")&amp;IF(COUNTIFS('Agenda 2026'!$Q$2:$Q$376,DATE(2026,1,10),'Agenda 2026'!$M$2:$M$376,1)&gt;=4,CHAR(10)&amp;IFERROR(INDEX('Agenda 2026'!$B$2:$B$376,MATCH(DATE(2026,1,10)*10+4,'Agenda 2026'!$S$2:$S$376,0)),""),"")&amp;IF(COUNTIFS('Agenda 2026'!$Q$2:$Q$376,DATE(2026,1,10),'Agenda 2026'!$M$2:$M$376,1)&gt;=5,CHAR(10)&amp;IFERROR(INDEX('Agenda 2026'!$B$2:$B$376,MATCH(DATE(2026,1,10)*10+5,'Agenda 2026'!$S$2:$S$376,0)),""),"")&amp;IF(COUNTIFS('Agenda 2026'!$Q$2:$Q$376,DATE(2026,1,10),'Agenda 2026'!$M$2:$M$376,1)&gt;=6,CHAR(10)&amp;IFERROR(INDEX('Agenda 2026'!$B$2:$B$376,MATCH(DATE(2026,1,10)*10+6,'Agenda 2026'!$S$2:$S$376,0)),""),"")&amp;IF(COUNTIFS('Agenda 2026'!$Q$2:$Q$376,DATE(2026,1,10),'Agenda 2026'!$M$2:$M$376,1)&gt;=7,CHAR(10)&amp;IFERROR(INDEX('Agenda 2026'!$B$2:$B$376,MATCH(DATE(2026,1,10)*10+7,'Agenda 2026'!$S$2:$S$376,0)),""),"")&amp;IF(COUNTIFS('Agenda 2026'!$Q$2:$Q$376,DATE(2026,1,10),'Agenda 2026'!$M$2:$M$376,1)&gt;=8,CHAR(10)&amp;IFERROR(INDEX('Agenda 2026'!$B$2:$B$376,MATCH(DATE(2026,1,10)*10+8,'Agenda 2026'!$S$2:$S$376,0)),""),"")&amp;IF(COUNTIFS('Agenda 2026'!$Q$2:$Q$376,DATE(2026,1,10),'Agenda 2026'!$M$2:$M$376,1)&gt;=9,CHAR(10)&amp;IFERROR(INDEX('Agenda 2026'!$B$2:$B$376,MATCH(DATE(2026,1,10)*10+9,'Agenda 2026'!$S$2:$S$376,0)),""),"")&amp;IF(COUNTIFS('Agenda 2026'!$Q$2:$Q$376,DATE(2026,1,10),'Agenda 2026'!$M$2:$M$376,1)&gt;=10,CHAR(10)&amp;IFERROR(INDEX('Agenda 2026'!$B$2:$B$376,MATCH(DATE(2026,1,10)*10+10,'Agenda 2026'!$S$2:$S$376,0)),""),"")&amp;IF(COUNTIFS('Agenda 2026'!$Q$2:$Q$376,DATE(2026,1,10),'Agenda 2026'!$M$2:$M$376,1)&gt;=11,CHAR(10)&amp;IFERROR(INDEX('Agenda 2026'!$B$2:$B$376,MATCH(DATE(2026,1,10)*10+11,'Agenda 2026'!$S$2:$S$376,0)),""),"")&amp;IF(COUNTIFS('Agenda 2026'!$Q$2:$Q$376,DATE(2026,1,10),'Agenda 2026'!$M$2:$M$376,1)&gt;=12,CHAR(10)&amp;IFERROR(INDEX('Agenda 2026'!$B$2:$B$376,MATCH(DATE(2026,1,10)*10+12,'Agenda 2026'!$S$2:$S$376,0)),""),"")</f>
        <v>10</v>
      </c>
      <c r="H11" s="58" t="str">
        <f t="array" ref="H11">11&amp;IF(COUNTIFS('Agenda 2026'!$Q$2:$Q$376,DATE(2026,1,11),'Agenda 2026'!$M$2:$M$376,1)&gt;=1,CHAR(10)&amp;IFERROR(INDEX('Agenda 2026'!$B$2:$B$376,MATCH(DATE(2026,1,11)*10+1,'Agenda 2026'!$S$2:$S$376,0)),""),"")&amp;IF(COUNTIFS('Agenda 2026'!$Q$2:$Q$376,DATE(2026,1,11),'Agenda 2026'!$M$2:$M$376,1)&gt;=2,CHAR(10)&amp;IFERROR(INDEX('Agenda 2026'!$B$2:$B$376,MATCH(DATE(2026,1,11)*10+2,'Agenda 2026'!$S$2:$S$376,0)),""),"")&amp;IF(COUNTIFS('Agenda 2026'!$Q$2:$Q$376,DATE(2026,1,11),'Agenda 2026'!$M$2:$M$376,1)&gt;=3,CHAR(10)&amp;IFERROR(INDEX('Agenda 2026'!$B$2:$B$376,MATCH(DATE(2026,1,11)*10+3,'Agenda 2026'!$S$2:$S$376,0)),""),"")&amp;IF(COUNTIFS('Agenda 2026'!$Q$2:$Q$376,DATE(2026,1,11),'Agenda 2026'!$M$2:$M$376,1)&gt;=4,CHAR(10)&amp;IFERROR(INDEX('Agenda 2026'!$B$2:$B$376,MATCH(DATE(2026,1,11)*10+4,'Agenda 2026'!$S$2:$S$376,0)),""),"")&amp;IF(COUNTIFS('Agenda 2026'!$Q$2:$Q$376,DATE(2026,1,11),'Agenda 2026'!$M$2:$M$376,1)&gt;=5,CHAR(10)&amp;IFERROR(INDEX('Agenda 2026'!$B$2:$B$376,MATCH(DATE(2026,1,11)*10+5,'Agenda 2026'!$S$2:$S$376,0)),""),"")&amp;IF(COUNTIFS('Agenda 2026'!$Q$2:$Q$376,DATE(2026,1,11),'Agenda 2026'!$M$2:$M$376,1)&gt;=6,CHAR(10)&amp;IFERROR(INDEX('Agenda 2026'!$B$2:$B$376,MATCH(DATE(2026,1,11)*10+6,'Agenda 2026'!$S$2:$S$376,0)),""),"")&amp;IF(COUNTIFS('Agenda 2026'!$Q$2:$Q$376,DATE(2026,1,11),'Agenda 2026'!$M$2:$M$376,1)&gt;=7,CHAR(10)&amp;IFERROR(INDEX('Agenda 2026'!$B$2:$B$376,MATCH(DATE(2026,1,11)*10+7,'Agenda 2026'!$S$2:$S$376,0)),""),"")&amp;IF(COUNTIFS('Agenda 2026'!$Q$2:$Q$376,DATE(2026,1,11),'Agenda 2026'!$M$2:$M$376,1)&gt;=8,CHAR(10)&amp;IFERROR(INDEX('Agenda 2026'!$B$2:$B$376,MATCH(DATE(2026,1,11)*10+8,'Agenda 2026'!$S$2:$S$376,0)),""),"")&amp;IF(COUNTIFS('Agenda 2026'!$Q$2:$Q$376,DATE(2026,1,11),'Agenda 2026'!$M$2:$M$376,1)&gt;=9,CHAR(10)&amp;IFERROR(INDEX('Agenda 2026'!$B$2:$B$376,MATCH(DATE(2026,1,11)*10+9,'Agenda 2026'!$S$2:$S$376,0)),""),"")&amp;IF(COUNTIFS('Agenda 2026'!$Q$2:$Q$376,DATE(2026,1,11),'Agenda 2026'!$M$2:$M$376,1)&gt;=10,CHAR(10)&amp;IFERROR(INDEX('Agenda 2026'!$B$2:$B$376,MATCH(DATE(2026,1,11)*10+10,'Agenda 2026'!$S$2:$S$376,0)),""),"")&amp;IF(COUNTIFS('Agenda 2026'!$Q$2:$Q$376,DATE(2026,1,11),'Agenda 2026'!$M$2:$M$376,1)&gt;=11,CHAR(10)&amp;IFERROR(INDEX('Agenda 2026'!$B$2:$B$376,MATCH(DATE(2026,1,11)*10+11,'Agenda 2026'!$S$2:$S$376,0)),""),"")&amp;IF(COUNTIFS('Agenda 2026'!$Q$2:$Q$376,DATE(2026,1,11),'Agenda 2026'!$M$2:$M$376,1)&gt;=12,CHAR(10)&amp;IFERROR(INDEX('Agenda 2026'!$B$2:$B$376,MATCH(DATE(2026,1,11)*10+12,'Agenda 2026'!$S$2:$S$376,0)),""),"")</f>
        <v>11</v>
      </c>
    </row>
    <row r="12" spans="1:9" ht="57.75" customHeight="1" x14ac:dyDescent="0.35">
      <c r="A12" s="17"/>
      <c r="B12" s="58" t="str">
        <f t="array" ref="B12">12&amp;IF(COUNTIFS('Agenda 2026'!$Q$2:$Q$376,DATE(2026,1,12),'Agenda 2026'!$M$2:$M$376,1)&gt;=1,CHAR(10)&amp;IFERROR(INDEX('Agenda 2026'!$B$2:$B$376,MATCH(DATE(2026,1,12)*10+1,'Agenda 2026'!$S$2:$S$376,0)),""),"")&amp;IF(COUNTIFS('Agenda 2026'!$Q$2:$Q$376,DATE(2026,1,12),'Agenda 2026'!$M$2:$M$376,1)&gt;=2,CHAR(10)&amp;IFERROR(INDEX('Agenda 2026'!$B$2:$B$376,MATCH(DATE(2026,1,12)*10+2,'Agenda 2026'!$S$2:$S$376,0)),""),"")&amp;IF(COUNTIFS('Agenda 2026'!$Q$2:$Q$376,DATE(2026,1,12),'Agenda 2026'!$M$2:$M$376,1)&gt;=3,CHAR(10)&amp;IFERROR(INDEX('Agenda 2026'!$B$2:$B$376,MATCH(DATE(2026,1,12)*10+3,'Agenda 2026'!$S$2:$S$376,0)),""),"")&amp;IF(COUNTIFS('Agenda 2026'!$Q$2:$Q$376,DATE(2026,1,12),'Agenda 2026'!$M$2:$M$376,1)&gt;=4,CHAR(10)&amp;IFERROR(INDEX('Agenda 2026'!$B$2:$B$376,MATCH(DATE(2026,1,12)*10+4,'Agenda 2026'!$S$2:$S$376,0)),""),"")&amp;IF(COUNTIFS('Agenda 2026'!$Q$2:$Q$376,DATE(2026,1,12),'Agenda 2026'!$M$2:$M$376,1)&gt;=5,CHAR(10)&amp;IFERROR(INDEX('Agenda 2026'!$B$2:$B$376,MATCH(DATE(2026,1,12)*10+5,'Agenda 2026'!$S$2:$S$376,0)),""),"")&amp;IF(COUNTIFS('Agenda 2026'!$Q$2:$Q$376,DATE(2026,1,12),'Agenda 2026'!$M$2:$M$376,1)&gt;=6,CHAR(10)&amp;IFERROR(INDEX('Agenda 2026'!$B$2:$B$376,MATCH(DATE(2026,1,12)*10+6,'Agenda 2026'!$S$2:$S$376,0)),""),"")&amp;IF(COUNTIFS('Agenda 2026'!$Q$2:$Q$376,DATE(2026,1,12),'Agenda 2026'!$M$2:$M$376,1)&gt;=7,CHAR(10)&amp;IFERROR(INDEX('Agenda 2026'!$B$2:$B$376,MATCH(DATE(2026,1,12)*10+7,'Agenda 2026'!$S$2:$S$376,0)),""),"")&amp;IF(COUNTIFS('Agenda 2026'!$Q$2:$Q$376,DATE(2026,1,12),'Agenda 2026'!$M$2:$M$376,1)&gt;=8,CHAR(10)&amp;IFERROR(INDEX('Agenda 2026'!$B$2:$B$376,MATCH(DATE(2026,1,12)*10+8,'Agenda 2026'!$S$2:$S$376,0)),""),"")&amp;IF(COUNTIFS('Agenda 2026'!$Q$2:$Q$376,DATE(2026,1,12),'Agenda 2026'!$M$2:$M$376,1)&gt;=9,CHAR(10)&amp;IFERROR(INDEX('Agenda 2026'!$B$2:$B$376,MATCH(DATE(2026,1,12)*10+9,'Agenda 2026'!$S$2:$S$376,0)),""),"")&amp;IF(COUNTIFS('Agenda 2026'!$Q$2:$Q$376,DATE(2026,1,12),'Agenda 2026'!$M$2:$M$376,1)&gt;=10,CHAR(10)&amp;IFERROR(INDEX('Agenda 2026'!$B$2:$B$376,MATCH(DATE(2026,1,12)*10+10,'Agenda 2026'!$S$2:$S$376,0)),""),"")&amp;IF(COUNTIFS('Agenda 2026'!$Q$2:$Q$376,DATE(2026,1,12),'Agenda 2026'!$M$2:$M$376,1)&gt;=11,CHAR(10)&amp;IFERROR(INDEX('Agenda 2026'!$B$2:$B$376,MATCH(DATE(2026,1,12)*10+11,'Agenda 2026'!$S$2:$S$376,0)),""),"")&amp;IF(COUNTIFS('Agenda 2026'!$Q$2:$Q$376,DATE(2026,1,12),'Agenda 2026'!$M$2:$M$376,1)&gt;=12,CHAR(10)&amp;IFERROR(INDEX('Agenda 2026'!$B$2:$B$376,MATCH(DATE(2026,1,12)*10+12,'Agenda 2026'!$S$2:$S$376,0)),""),"")</f>
        <v>12</v>
      </c>
      <c r="C12" s="58" t="str">
        <f t="array" ref="C12">13&amp;IF(COUNTIFS('Agenda 2026'!$Q$2:$Q$376,DATE(2026,1,13),'Agenda 2026'!$M$2:$M$376,1)&gt;=1,CHAR(10)&amp;IFERROR(INDEX('Agenda 2026'!$B$2:$B$376,MATCH(DATE(2026,1,13)*10+1,'Agenda 2026'!$S$2:$S$376,0)),""),"")&amp;IF(COUNTIFS('Agenda 2026'!$Q$2:$Q$376,DATE(2026,1,13),'Agenda 2026'!$M$2:$M$376,1)&gt;=2,CHAR(10)&amp;IFERROR(INDEX('Agenda 2026'!$B$2:$B$376,MATCH(DATE(2026,1,13)*10+2,'Agenda 2026'!$S$2:$S$376,0)),""),"")&amp;IF(COUNTIFS('Agenda 2026'!$Q$2:$Q$376,DATE(2026,1,13),'Agenda 2026'!$M$2:$M$376,1)&gt;=3,CHAR(10)&amp;IFERROR(INDEX('Agenda 2026'!$B$2:$B$376,MATCH(DATE(2026,1,13)*10+3,'Agenda 2026'!$S$2:$S$376,0)),""),"")&amp;IF(COUNTIFS('Agenda 2026'!$Q$2:$Q$376,DATE(2026,1,13),'Agenda 2026'!$M$2:$M$376,1)&gt;=4,CHAR(10)&amp;IFERROR(INDEX('Agenda 2026'!$B$2:$B$376,MATCH(DATE(2026,1,13)*10+4,'Agenda 2026'!$S$2:$S$376,0)),""),"")&amp;IF(COUNTIFS('Agenda 2026'!$Q$2:$Q$376,DATE(2026,1,13),'Agenda 2026'!$M$2:$M$376,1)&gt;=5,CHAR(10)&amp;IFERROR(INDEX('Agenda 2026'!$B$2:$B$376,MATCH(DATE(2026,1,13)*10+5,'Agenda 2026'!$S$2:$S$376,0)),""),"")&amp;IF(COUNTIFS('Agenda 2026'!$Q$2:$Q$376,DATE(2026,1,13),'Agenda 2026'!$M$2:$M$376,1)&gt;=6,CHAR(10)&amp;IFERROR(INDEX('Agenda 2026'!$B$2:$B$376,MATCH(DATE(2026,1,13)*10+6,'Agenda 2026'!$S$2:$S$376,0)),""),"")&amp;IF(COUNTIFS('Agenda 2026'!$Q$2:$Q$376,DATE(2026,1,13),'Agenda 2026'!$M$2:$M$376,1)&gt;=7,CHAR(10)&amp;IFERROR(INDEX('Agenda 2026'!$B$2:$B$376,MATCH(DATE(2026,1,13)*10+7,'Agenda 2026'!$S$2:$S$376,0)),""),"")&amp;IF(COUNTIFS('Agenda 2026'!$Q$2:$Q$376,DATE(2026,1,13),'Agenda 2026'!$M$2:$M$376,1)&gt;=8,CHAR(10)&amp;IFERROR(INDEX('Agenda 2026'!$B$2:$B$376,MATCH(DATE(2026,1,13)*10+8,'Agenda 2026'!$S$2:$S$376,0)),""),"")&amp;IF(COUNTIFS('Agenda 2026'!$Q$2:$Q$376,DATE(2026,1,13),'Agenda 2026'!$M$2:$M$376,1)&gt;=9,CHAR(10)&amp;IFERROR(INDEX('Agenda 2026'!$B$2:$B$376,MATCH(DATE(2026,1,13)*10+9,'Agenda 2026'!$S$2:$S$376,0)),""),"")&amp;IF(COUNTIFS('Agenda 2026'!$Q$2:$Q$376,DATE(2026,1,13),'Agenda 2026'!$M$2:$M$376,1)&gt;=10,CHAR(10)&amp;IFERROR(INDEX('Agenda 2026'!$B$2:$B$376,MATCH(DATE(2026,1,13)*10+10,'Agenda 2026'!$S$2:$S$376,0)),""),"")&amp;IF(COUNTIFS('Agenda 2026'!$Q$2:$Q$376,DATE(2026,1,13),'Agenda 2026'!$M$2:$M$376,1)&gt;=11,CHAR(10)&amp;IFERROR(INDEX('Agenda 2026'!$B$2:$B$376,MATCH(DATE(2026,1,13)*10+11,'Agenda 2026'!$S$2:$S$376,0)),""),"")&amp;IF(COUNTIFS('Agenda 2026'!$Q$2:$Q$376,DATE(2026,1,13),'Agenda 2026'!$M$2:$M$376,1)&gt;=12,CHAR(10)&amp;IFERROR(INDEX('Agenda 2026'!$B$2:$B$376,MATCH(DATE(2026,1,13)*10+12,'Agenda 2026'!$S$2:$S$376,0)),""),"")</f>
        <v>13</v>
      </c>
      <c r="D12" s="58" t="str">
        <f t="array" ref="D12">14&amp;IF(COUNTIFS('Agenda 2026'!$Q$2:$Q$376,DATE(2026,1,14),'Agenda 2026'!$M$2:$M$376,1)&gt;=1,CHAR(10)&amp;IFERROR(INDEX('Agenda 2026'!$B$2:$B$376,MATCH(DATE(2026,1,14)*10+1,'Agenda 2026'!$S$2:$S$376,0)),""),"")&amp;IF(COUNTIFS('Agenda 2026'!$Q$2:$Q$376,DATE(2026,1,14),'Agenda 2026'!$M$2:$M$376,1)&gt;=2,CHAR(10)&amp;IFERROR(INDEX('Agenda 2026'!$B$2:$B$376,MATCH(DATE(2026,1,14)*10+2,'Agenda 2026'!$S$2:$S$376,0)),""),"")&amp;IF(COUNTIFS('Agenda 2026'!$Q$2:$Q$376,DATE(2026,1,14),'Agenda 2026'!$M$2:$M$376,1)&gt;=3,CHAR(10)&amp;IFERROR(INDEX('Agenda 2026'!$B$2:$B$376,MATCH(DATE(2026,1,14)*10+3,'Agenda 2026'!$S$2:$S$376,0)),""),"")&amp;IF(COUNTIFS('Agenda 2026'!$Q$2:$Q$376,DATE(2026,1,14),'Agenda 2026'!$M$2:$M$376,1)&gt;=4,CHAR(10)&amp;IFERROR(INDEX('Agenda 2026'!$B$2:$B$376,MATCH(DATE(2026,1,14)*10+4,'Agenda 2026'!$S$2:$S$376,0)),""),"")&amp;IF(COUNTIFS('Agenda 2026'!$Q$2:$Q$376,DATE(2026,1,14),'Agenda 2026'!$M$2:$M$376,1)&gt;=5,CHAR(10)&amp;IFERROR(INDEX('Agenda 2026'!$B$2:$B$376,MATCH(DATE(2026,1,14)*10+5,'Agenda 2026'!$S$2:$S$376,0)),""),"")&amp;IF(COUNTIFS('Agenda 2026'!$Q$2:$Q$376,DATE(2026,1,14),'Agenda 2026'!$M$2:$M$376,1)&gt;=6,CHAR(10)&amp;IFERROR(INDEX('Agenda 2026'!$B$2:$B$376,MATCH(DATE(2026,1,14)*10+6,'Agenda 2026'!$S$2:$S$376,0)),""),"")&amp;IF(COUNTIFS('Agenda 2026'!$Q$2:$Q$376,DATE(2026,1,14),'Agenda 2026'!$M$2:$M$376,1)&gt;=7,CHAR(10)&amp;IFERROR(INDEX('Agenda 2026'!$B$2:$B$376,MATCH(DATE(2026,1,14)*10+7,'Agenda 2026'!$S$2:$S$376,0)),""),"")&amp;IF(COUNTIFS('Agenda 2026'!$Q$2:$Q$376,DATE(2026,1,14),'Agenda 2026'!$M$2:$M$376,1)&gt;=8,CHAR(10)&amp;IFERROR(INDEX('Agenda 2026'!$B$2:$B$376,MATCH(DATE(2026,1,14)*10+8,'Agenda 2026'!$S$2:$S$376,0)),""),"")&amp;IF(COUNTIFS('Agenda 2026'!$Q$2:$Q$376,DATE(2026,1,14),'Agenda 2026'!$M$2:$M$376,1)&gt;=9,CHAR(10)&amp;IFERROR(INDEX('Agenda 2026'!$B$2:$B$376,MATCH(DATE(2026,1,14)*10+9,'Agenda 2026'!$S$2:$S$376,0)),""),"")&amp;IF(COUNTIFS('Agenda 2026'!$Q$2:$Q$376,DATE(2026,1,14),'Agenda 2026'!$M$2:$M$376,1)&gt;=10,CHAR(10)&amp;IFERROR(INDEX('Agenda 2026'!$B$2:$B$376,MATCH(DATE(2026,1,14)*10+10,'Agenda 2026'!$S$2:$S$376,0)),""),"")&amp;IF(COUNTIFS('Agenda 2026'!$Q$2:$Q$376,DATE(2026,1,14),'Agenda 2026'!$M$2:$M$376,1)&gt;=11,CHAR(10)&amp;IFERROR(INDEX('Agenda 2026'!$B$2:$B$376,MATCH(DATE(2026,1,14)*10+11,'Agenda 2026'!$S$2:$S$376,0)),""),"")&amp;IF(COUNTIFS('Agenda 2026'!$Q$2:$Q$376,DATE(2026,1,14),'Agenda 2026'!$M$2:$M$376,1)&gt;=12,CHAR(10)&amp;IFERROR(INDEX('Agenda 2026'!$B$2:$B$376,MATCH(DATE(2026,1,14)*10+12,'Agenda 2026'!$S$2:$S$376,0)),""),"")</f>
        <v>14</v>
      </c>
      <c r="E12" s="58" t="str">
        <f t="array" ref="E12">15&amp;IF(COUNTIFS('Agenda 2026'!$Q$2:$Q$376,DATE(2026,1,15),'Agenda 2026'!$M$2:$M$376,1)&gt;=1,CHAR(10)&amp;IFERROR(INDEX('Agenda 2026'!$B$2:$B$376,MATCH(DATE(2026,1,15)*10+1,'Agenda 2026'!$S$2:$S$376,0)),""),"")&amp;IF(COUNTIFS('Agenda 2026'!$Q$2:$Q$376,DATE(2026,1,15),'Agenda 2026'!$M$2:$M$376,1)&gt;=2,CHAR(10)&amp;IFERROR(INDEX('Agenda 2026'!$B$2:$B$376,MATCH(DATE(2026,1,15)*10+2,'Agenda 2026'!$S$2:$S$376,0)),""),"")&amp;IF(COUNTIFS('Agenda 2026'!$Q$2:$Q$376,DATE(2026,1,15),'Agenda 2026'!$M$2:$M$376,1)&gt;=3,CHAR(10)&amp;IFERROR(INDEX('Agenda 2026'!$B$2:$B$376,MATCH(DATE(2026,1,15)*10+3,'Agenda 2026'!$S$2:$S$376,0)),""),"")&amp;IF(COUNTIFS('Agenda 2026'!$Q$2:$Q$376,DATE(2026,1,15),'Agenda 2026'!$M$2:$M$376,1)&gt;=4,CHAR(10)&amp;IFERROR(INDEX('Agenda 2026'!$B$2:$B$376,MATCH(DATE(2026,1,15)*10+4,'Agenda 2026'!$S$2:$S$376,0)),""),"")&amp;IF(COUNTIFS('Agenda 2026'!$Q$2:$Q$376,DATE(2026,1,15),'Agenda 2026'!$M$2:$M$376,1)&gt;=5,CHAR(10)&amp;IFERROR(INDEX('Agenda 2026'!$B$2:$B$376,MATCH(DATE(2026,1,15)*10+5,'Agenda 2026'!$S$2:$S$376,0)),""),"")&amp;IF(COUNTIFS('Agenda 2026'!$Q$2:$Q$376,DATE(2026,1,15),'Agenda 2026'!$M$2:$M$376,1)&gt;=6,CHAR(10)&amp;IFERROR(INDEX('Agenda 2026'!$B$2:$B$376,MATCH(DATE(2026,1,15)*10+6,'Agenda 2026'!$S$2:$S$376,0)),""),"")&amp;IF(COUNTIFS('Agenda 2026'!$Q$2:$Q$376,DATE(2026,1,15),'Agenda 2026'!$M$2:$M$376,1)&gt;=7,CHAR(10)&amp;IFERROR(INDEX('Agenda 2026'!$B$2:$B$376,MATCH(DATE(2026,1,15)*10+7,'Agenda 2026'!$S$2:$S$376,0)),""),"")&amp;IF(COUNTIFS('Agenda 2026'!$Q$2:$Q$376,DATE(2026,1,15),'Agenda 2026'!$M$2:$M$376,1)&gt;=8,CHAR(10)&amp;IFERROR(INDEX('Agenda 2026'!$B$2:$B$376,MATCH(DATE(2026,1,15)*10+8,'Agenda 2026'!$S$2:$S$376,0)),""),"")&amp;IF(COUNTIFS('Agenda 2026'!$Q$2:$Q$376,DATE(2026,1,15),'Agenda 2026'!$M$2:$M$376,1)&gt;=9,CHAR(10)&amp;IFERROR(INDEX('Agenda 2026'!$B$2:$B$376,MATCH(DATE(2026,1,15)*10+9,'Agenda 2026'!$S$2:$S$376,0)),""),"")&amp;IF(COUNTIFS('Agenda 2026'!$Q$2:$Q$376,DATE(2026,1,15),'Agenda 2026'!$M$2:$M$376,1)&gt;=10,CHAR(10)&amp;IFERROR(INDEX('Agenda 2026'!$B$2:$B$376,MATCH(DATE(2026,1,15)*10+10,'Agenda 2026'!$S$2:$S$376,0)),""),"")&amp;IF(COUNTIFS('Agenda 2026'!$Q$2:$Q$376,DATE(2026,1,15),'Agenda 2026'!$M$2:$M$376,1)&gt;=11,CHAR(10)&amp;IFERROR(INDEX('Agenda 2026'!$B$2:$B$376,MATCH(DATE(2026,1,15)*10+11,'Agenda 2026'!$S$2:$S$376,0)),""),"")&amp;IF(COUNTIFS('Agenda 2026'!$Q$2:$Q$376,DATE(2026,1,15),'Agenda 2026'!$M$2:$M$376,1)&gt;=12,CHAR(10)&amp;IFERROR(INDEX('Agenda 2026'!$B$2:$B$376,MATCH(DATE(2026,1,15)*10+12,'Agenda 2026'!$S$2:$S$376,0)),""),"")</f>
        <v>15</v>
      </c>
      <c r="F12" s="58" t="str">
        <f t="array" ref="F12">16&amp;IF(COUNTIFS('Agenda 2026'!$Q$2:$Q$376,DATE(2026,1,16),'Agenda 2026'!$M$2:$M$376,1)&gt;=1,CHAR(10)&amp;IFERROR(INDEX('Agenda 2026'!$B$2:$B$376,MATCH(DATE(2026,1,16)*10+1,'Agenda 2026'!$S$2:$S$376,0)),""),"")&amp;IF(COUNTIFS('Agenda 2026'!$Q$2:$Q$376,DATE(2026,1,16),'Agenda 2026'!$M$2:$M$376,1)&gt;=2,CHAR(10)&amp;IFERROR(INDEX('Agenda 2026'!$B$2:$B$376,MATCH(DATE(2026,1,16)*10+2,'Agenda 2026'!$S$2:$S$376,0)),""),"")&amp;IF(COUNTIFS('Agenda 2026'!$Q$2:$Q$376,DATE(2026,1,16),'Agenda 2026'!$M$2:$M$376,1)&gt;=3,CHAR(10)&amp;IFERROR(INDEX('Agenda 2026'!$B$2:$B$376,MATCH(DATE(2026,1,16)*10+3,'Agenda 2026'!$S$2:$S$376,0)),""),"")&amp;IF(COUNTIFS('Agenda 2026'!$Q$2:$Q$376,DATE(2026,1,16),'Agenda 2026'!$M$2:$M$376,1)&gt;=4,CHAR(10)&amp;IFERROR(INDEX('Agenda 2026'!$B$2:$B$376,MATCH(DATE(2026,1,16)*10+4,'Agenda 2026'!$S$2:$S$376,0)),""),"")&amp;IF(COUNTIFS('Agenda 2026'!$Q$2:$Q$376,DATE(2026,1,16),'Agenda 2026'!$M$2:$M$376,1)&gt;=5,CHAR(10)&amp;IFERROR(INDEX('Agenda 2026'!$B$2:$B$376,MATCH(DATE(2026,1,16)*10+5,'Agenda 2026'!$S$2:$S$376,0)),""),"")&amp;IF(COUNTIFS('Agenda 2026'!$Q$2:$Q$376,DATE(2026,1,16),'Agenda 2026'!$M$2:$M$376,1)&gt;=6,CHAR(10)&amp;IFERROR(INDEX('Agenda 2026'!$B$2:$B$376,MATCH(DATE(2026,1,16)*10+6,'Agenda 2026'!$S$2:$S$376,0)),""),"")&amp;IF(COUNTIFS('Agenda 2026'!$Q$2:$Q$376,DATE(2026,1,16),'Agenda 2026'!$M$2:$M$376,1)&gt;=7,CHAR(10)&amp;IFERROR(INDEX('Agenda 2026'!$B$2:$B$376,MATCH(DATE(2026,1,16)*10+7,'Agenda 2026'!$S$2:$S$376,0)),""),"")&amp;IF(COUNTIFS('Agenda 2026'!$Q$2:$Q$376,DATE(2026,1,16),'Agenda 2026'!$M$2:$M$376,1)&gt;=8,CHAR(10)&amp;IFERROR(INDEX('Agenda 2026'!$B$2:$B$376,MATCH(DATE(2026,1,16)*10+8,'Agenda 2026'!$S$2:$S$376,0)),""),"")&amp;IF(COUNTIFS('Agenda 2026'!$Q$2:$Q$376,DATE(2026,1,16),'Agenda 2026'!$M$2:$M$376,1)&gt;=9,CHAR(10)&amp;IFERROR(INDEX('Agenda 2026'!$B$2:$B$376,MATCH(DATE(2026,1,16)*10+9,'Agenda 2026'!$S$2:$S$376,0)),""),"")&amp;IF(COUNTIFS('Agenda 2026'!$Q$2:$Q$376,DATE(2026,1,16),'Agenda 2026'!$M$2:$M$376,1)&gt;=10,CHAR(10)&amp;IFERROR(INDEX('Agenda 2026'!$B$2:$B$376,MATCH(DATE(2026,1,16)*10+10,'Agenda 2026'!$S$2:$S$376,0)),""),"")&amp;IF(COUNTIFS('Agenda 2026'!$Q$2:$Q$376,DATE(2026,1,16),'Agenda 2026'!$M$2:$M$376,1)&gt;=11,CHAR(10)&amp;IFERROR(INDEX('Agenda 2026'!$B$2:$B$376,MATCH(DATE(2026,1,16)*10+11,'Agenda 2026'!$S$2:$S$376,0)),""),"")&amp;IF(COUNTIFS('Agenda 2026'!$Q$2:$Q$376,DATE(2026,1,16),'Agenda 2026'!$M$2:$M$376,1)&gt;=12,CHAR(10)&amp;IFERROR(INDEX('Agenda 2026'!$B$2:$B$376,MATCH(DATE(2026,1,16)*10+12,'Agenda 2026'!$S$2:$S$376,0)),""),"")</f>
        <v>16</v>
      </c>
      <c r="G12" s="58" t="str">
        <f t="array" ref="G12">17&amp;IF(COUNTIFS('Agenda 2026'!$Q$2:$Q$376,DATE(2026,1,17),'Agenda 2026'!$M$2:$M$376,1)&gt;=1,CHAR(10)&amp;IFERROR(INDEX('Agenda 2026'!$B$2:$B$376,MATCH(DATE(2026,1,17)*10+1,'Agenda 2026'!$S$2:$S$376,0)),""),"")&amp;IF(COUNTIFS('Agenda 2026'!$Q$2:$Q$376,DATE(2026,1,17),'Agenda 2026'!$M$2:$M$376,1)&gt;=2,CHAR(10)&amp;IFERROR(INDEX('Agenda 2026'!$B$2:$B$376,MATCH(DATE(2026,1,17)*10+2,'Agenda 2026'!$S$2:$S$376,0)),""),"")&amp;IF(COUNTIFS('Agenda 2026'!$Q$2:$Q$376,DATE(2026,1,17),'Agenda 2026'!$M$2:$M$376,1)&gt;=3,CHAR(10)&amp;IFERROR(INDEX('Agenda 2026'!$B$2:$B$376,MATCH(DATE(2026,1,17)*10+3,'Agenda 2026'!$S$2:$S$376,0)),""),"")&amp;IF(COUNTIFS('Agenda 2026'!$Q$2:$Q$376,DATE(2026,1,17),'Agenda 2026'!$M$2:$M$376,1)&gt;=4,CHAR(10)&amp;IFERROR(INDEX('Agenda 2026'!$B$2:$B$376,MATCH(DATE(2026,1,17)*10+4,'Agenda 2026'!$S$2:$S$376,0)),""),"")&amp;IF(COUNTIFS('Agenda 2026'!$Q$2:$Q$376,DATE(2026,1,17),'Agenda 2026'!$M$2:$M$376,1)&gt;=5,CHAR(10)&amp;IFERROR(INDEX('Agenda 2026'!$B$2:$B$376,MATCH(DATE(2026,1,17)*10+5,'Agenda 2026'!$S$2:$S$376,0)),""),"")&amp;IF(COUNTIFS('Agenda 2026'!$Q$2:$Q$376,DATE(2026,1,17),'Agenda 2026'!$M$2:$M$376,1)&gt;=6,CHAR(10)&amp;IFERROR(INDEX('Agenda 2026'!$B$2:$B$376,MATCH(DATE(2026,1,17)*10+6,'Agenda 2026'!$S$2:$S$376,0)),""),"")&amp;IF(COUNTIFS('Agenda 2026'!$Q$2:$Q$376,DATE(2026,1,17),'Agenda 2026'!$M$2:$M$376,1)&gt;=7,CHAR(10)&amp;IFERROR(INDEX('Agenda 2026'!$B$2:$B$376,MATCH(DATE(2026,1,17)*10+7,'Agenda 2026'!$S$2:$S$376,0)),""),"")&amp;IF(COUNTIFS('Agenda 2026'!$Q$2:$Q$376,DATE(2026,1,17),'Agenda 2026'!$M$2:$M$376,1)&gt;=8,CHAR(10)&amp;IFERROR(INDEX('Agenda 2026'!$B$2:$B$376,MATCH(DATE(2026,1,17)*10+8,'Agenda 2026'!$S$2:$S$376,0)),""),"")&amp;IF(COUNTIFS('Agenda 2026'!$Q$2:$Q$376,DATE(2026,1,17),'Agenda 2026'!$M$2:$M$376,1)&gt;=9,CHAR(10)&amp;IFERROR(INDEX('Agenda 2026'!$B$2:$B$376,MATCH(DATE(2026,1,17)*10+9,'Agenda 2026'!$S$2:$S$376,0)),""),"")&amp;IF(COUNTIFS('Agenda 2026'!$Q$2:$Q$376,DATE(2026,1,17),'Agenda 2026'!$M$2:$M$376,1)&gt;=10,CHAR(10)&amp;IFERROR(INDEX('Agenda 2026'!$B$2:$B$376,MATCH(DATE(2026,1,17)*10+10,'Agenda 2026'!$S$2:$S$376,0)),""),"")&amp;IF(COUNTIFS('Agenda 2026'!$Q$2:$Q$376,DATE(2026,1,17),'Agenda 2026'!$M$2:$M$376,1)&gt;=11,CHAR(10)&amp;IFERROR(INDEX('Agenda 2026'!$B$2:$B$376,MATCH(DATE(2026,1,17)*10+11,'Agenda 2026'!$S$2:$S$376,0)),""),"")&amp;IF(COUNTIFS('Agenda 2026'!$Q$2:$Q$376,DATE(2026,1,17),'Agenda 2026'!$M$2:$M$376,1)&gt;=12,CHAR(10)&amp;IFERROR(INDEX('Agenda 2026'!$B$2:$B$376,MATCH(DATE(2026,1,17)*10+12,'Agenda 2026'!$S$2:$S$376,0)),""),"")</f>
        <v>17</v>
      </c>
      <c r="H12" s="58" t="str">
        <f t="array" ref="H12">18&amp;IF(COUNTIFS('Agenda 2026'!$Q$2:$Q$376,DATE(2026,1,18),'Agenda 2026'!$M$2:$M$376,1)&gt;=1,CHAR(10)&amp;IFERROR(INDEX('Agenda 2026'!$B$2:$B$376,MATCH(DATE(2026,1,18)*10+1,'Agenda 2026'!$S$2:$S$376,0)),""),"")&amp;IF(COUNTIFS('Agenda 2026'!$Q$2:$Q$376,DATE(2026,1,18),'Agenda 2026'!$M$2:$M$376,1)&gt;=2,CHAR(10)&amp;IFERROR(INDEX('Agenda 2026'!$B$2:$B$376,MATCH(DATE(2026,1,18)*10+2,'Agenda 2026'!$S$2:$S$376,0)),""),"")&amp;IF(COUNTIFS('Agenda 2026'!$Q$2:$Q$376,DATE(2026,1,18),'Agenda 2026'!$M$2:$M$376,1)&gt;=3,CHAR(10)&amp;IFERROR(INDEX('Agenda 2026'!$B$2:$B$376,MATCH(DATE(2026,1,18)*10+3,'Agenda 2026'!$S$2:$S$376,0)),""),"")&amp;IF(COUNTIFS('Agenda 2026'!$Q$2:$Q$376,DATE(2026,1,18),'Agenda 2026'!$M$2:$M$376,1)&gt;=4,CHAR(10)&amp;IFERROR(INDEX('Agenda 2026'!$B$2:$B$376,MATCH(DATE(2026,1,18)*10+4,'Agenda 2026'!$S$2:$S$376,0)),""),"")&amp;IF(COUNTIFS('Agenda 2026'!$Q$2:$Q$376,DATE(2026,1,18),'Agenda 2026'!$M$2:$M$376,1)&gt;=5,CHAR(10)&amp;IFERROR(INDEX('Agenda 2026'!$B$2:$B$376,MATCH(DATE(2026,1,18)*10+5,'Agenda 2026'!$S$2:$S$376,0)),""),"")&amp;IF(COUNTIFS('Agenda 2026'!$Q$2:$Q$376,DATE(2026,1,18),'Agenda 2026'!$M$2:$M$376,1)&gt;=6,CHAR(10)&amp;IFERROR(INDEX('Agenda 2026'!$B$2:$B$376,MATCH(DATE(2026,1,18)*10+6,'Agenda 2026'!$S$2:$S$376,0)),""),"")&amp;IF(COUNTIFS('Agenda 2026'!$Q$2:$Q$376,DATE(2026,1,18),'Agenda 2026'!$M$2:$M$376,1)&gt;=7,CHAR(10)&amp;IFERROR(INDEX('Agenda 2026'!$B$2:$B$376,MATCH(DATE(2026,1,18)*10+7,'Agenda 2026'!$S$2:$S$376,0)),""),"")&amp;IF(COUNTIFS('Agenda 2026'!$Q$2:$Q$376,DATE(2026,1,18),'Agenda 2026'!$M$2:$M$376,1)&gt;=8,CHAR(10)&amp;IFERROR(INDEX('Agenda 2026'!$B$2:$B$376,MATCH(DATE(2026,1,18)*10+8,'Agenda 2026'!$S$2:$S$376,0)),""),"")&amp;IF(COUNTIFS('Agenda 2026'!$Q$2:$Q$376,DATE(2026,1,18),'Agenda 2026'!$M$2:$M$376,1)&gt;=9,CHAR(10)&amp;IFERROR(INDEX('Agenda 2026'!$B$2:$B$376,MATCH(DATE(2026,1,18)*10+9,'Agenda 2026'!$S$2:$S$376,0)),""),"")&amp;IF(COUNTIFS('Agenda 2026'!$Q$2:$Q$376,DATE(2026,1,18),'Agenda 2026'!$M$2:$M$376,1)&gt;=10,CHAR(10)&amp;IFERROR(INDEX('Agenda 2026'!$B$2:$B$376,MATCH(DATE(2026,1,18)*10+10,'Agenda 2026'!$S$2:$S$376,0)),""),"")&amp;IF(COUNTIFS('Agenda 2026'!$Q$2:$Q$376,DATE(2026,1,18),'Agenda 2026'!$M$2:$M$376,1)&gt;=11,CHAR(10)&amp;IFERROR(INDEX('Agenda 2026'!$B$2:$B$376,MATCH(DATE(2026,1,18)*10+11,'Agenda 2026'!$S$2:$S$376,0)),""),"")&amp;IF(COUNTIFS('Agenda 2026'!$Q$2:$Q$376,DATE(2026,1,18),'Agenda 2026'!$M$2:$M$376,1)&gt;=12,CHAR(10)&amp;IFERROR(INDEX('Agenda 2026'!$B$2:$B$376,MATCH(DATE(2026,1,18)*10+12,'Agenda 2026'!$S$2:$S$376,0)),""),"")</f>
        <v>18</v>
      </c>
    </row>
    <row r="13" spans="1:9" ht="69.75" customHeight="1" x14ac:dyDescent="0.35">
      <c r="A13" s="17"/>
      <c r="B13" s="58" t="str">
        <f t="array" ref="B13">19&amp;IF(COUNTIFS('Agenda 2026'!$Q$2:$Q$376,DATE(2026,1,19),'Agenda 2026'!$M$2:$M$376,1)&gt;=1,CHAR(10)&amp;IFERROR(INDEX('Agenda 2026'!$B$2:$B$376,MATCH(DATE(2026,1,19)*10+1,'Agenda 2026'!$S$2:$S$376,0)),""),"")&amp;IF(COUNTIFS('Agenda 2026'!$Q$2:$Q$376,DATE(2026,1,19),'Agenda 2026'!$M$2:$M$376,1)&gt;=2,CHAR(10)&amp;IFERROR(INDEX('Agenda 2026'!$B$2:$B$376,MATCH(DATE(2026,1,19)*10+2,'Agenda 2026'!$S$2:$S$376,0)),""),"")&amp;IF(COUNTIFS('Agenda 2026'!$Q$2:$Q$376,DATE(2026,1,19),'Agenda 2026'!$M$2:$M$376,1)&gt;=3,CHAR(10)&amp;IFERROR(INDEX('Agenda 2026'!$B$2:$B$376,MATCH(DATE(2026,1,19)*10+3,'Agenda 2026'!$S$2:$S$376,0)),""),"")&amp;IF(COUNTIFS('Agenda 2026'!$Q$2:$Q$376,DATE(2026,1,19),'Agenda 2026'!$M$2:$M$376,1)&gt;=4,CHAR(10)&amp;IFERROR(INDEX('Agenda 2026'!$B$2:$B$376,MATCH(DATE(2026,1,19)*10+4,'Agenda 2026'!$S$2:$S$376,0)),""),"")&amp;IF(COUNTIFS('Agenda 2026'!$Q$2:$Q$376,DATE(2026,1,19),'Agenda 2026'!$M$2:$M$376,1)&gt;=5,CHAR(10)&amp;IFERROR(INDEX('Agenda 2026'!$B$2:$B$376,MATCH(DATE(2026,1,19)*10+5,'Agenda 2026'!$S$2:$S$376,0)),""),"")&amp;IF(COUNTIFS('Agenda 2026'!$Q$2:$Q$376,DATE(2026,1,19),'Agenda 2026'!$M$2:$M$376,1)&gt;=6,CHAR(10)&amp;IFERROR(INDEX('Agenda 2026'!$B$2:$B$376,MATCH(DATE(2026,1,19)*10+6,'Agenda 2026'!$S$2:$S$376,0)),""),"")&amp;IF(COUNTIFS('Agenda 2026'!$Q$2:$Q$376,DATE(2026,1,19),'Agenda 2026'!$M$2:$M$376,1)&gt;=7,CHAR(10)&amp;IFERROR(INDEX('Agenda 2026'!$B$2:$B$376,MATCH(DATE(2026,1,19)*10+7,'Agenda 2026'!$S$2:$S$376,0)),""),"")&amp;IF(COUNTIFS('Agenda 2026'!$Q$2:$Q$376,DATE(2026,1,19),'Agenda 2026'!$M$2:$M$376,1)&gt;=8,CHAR(10)&amp;IFERROR(INDEX('Agenda 2026'!$B$2:$B$376,MATCH(DATE(2026,1,19)*10+8,'Agenda 2026'!$S$2:$S$376,0)),""),"")&amp;IF(COUNTIFS('Agenda 2026'!$Q$2:$Q$376,DATE(2026,1,19),'Agenda 2026'!$M$2:$M$376,1)&gt;=9,CHAR(10)&amp;IFERROR(INDEX('Agenda 2026'!$B$2:$B$376,MATCH(DATE(2026,1,19)*10+9,'Agenda 2026'!$S$2:$S$376,0)),""),"")&amp;IF(COUNTIFS('Agenda 2026'!$Q$2:$Q$376,DATE(2026,1,19),'Agenda 2026'!$M$2:$M$376,1)&gt;=10,CHAR(10)&amp;IFERROR(INDEX('Agenda 2026'!$B$2:$B$376,MATCH(DATE(2026,1,19)*10+10,'Agenda 2026'!$S$2:$S$376,0)),""),"")&amp;IF(COUNTIFS('Agenda 2026'!$Q$2:$Q$376,DATE(2026,1,19),'Agenda 2026'!$M$2:$M$376,1)&gt;=11,CHAR(10)&amp;IFERROR(INDEX('Agenda 2026'!$B$2:$B$376,MATCH(DATE(2026,1,19)*10+11,'Agenda 2026'!$S$2:$S$376,0)),""),"")&amp;IF(COUNTIFS('Agenda 2026'!$Q$2:$Q$376,DATE(2026,1,19),'Agenda 2026'!$M$2:$M$376,1)&gt;=12,CHAR(10)&amp;IFERROR(INDEX('Agenda 2026'!$B$2:$B$376,MATCH(DATE(2026,1,19)*10+12,'Agenda 2026'!$S$2:$S$376,0)),""),"")</f>
        <v>19</v>
      </c>
      <c r="C13" s="58" t="str">
        <f t="array" ref="C13">20&amp;IF(COUNTIFS('Agenda 2026'!$Q$2:$Q$376,DATE(2026,1,20),'Agenda 2026'!$M$2:$M$376,1)&gt;=1,CHAR(10)&amp;IFERROR(INDEX('Agenda 2026'!$B$2:$B$376,MATCH(DATE(2026,1,20)*10+1,'Agenda 2026'!$S$2:$S$376,0)),""),"")&amp;IF(COUNTIFS('Agenda 2026'!$Q$2:$Q$376,DATE(2026,1,20),'Agenda 2026'!$M$2:$M$376,1)&gt;=2,CHAR(10)&amp;IFERROR(INDEX('Agenda 2026'!$B$2:$B$376,MATCH(DATE(2026,1,20)*10+2,'Agenda 2026'!$S$2:$S$376,0)),""),"")&amp;IF(COUNTIFS('Agenda 2026'!$Q$2:$Q$376,DATE(2026,1,20),'Agenda 2026'!$M$2:$M$376,1)&gt;=3,CHAR(10)&amp;IFERROR(INDEX('Agenda 2026'!$B$2:$B$376,MATCH(DATE(2026,1,20)*10+3,'Agenda 2026'!$S$2:$S$376,0)),""),"")&amp;IF(COUNTIFS('Agenda 2026'!$Q$2:$Q$376,DATE(2026,1,20),'Agenda 2026'!$M$2:$M$376,1)&gt;=4,CHAR(10)&amp;IFERROR(INDEX('Agenda 2026'!$B$2:$B$376,MATCH(DATE(2026,1,20)*10+4,'Agenda 2026'!$S$2:$S$376,0)),""),"")&amp;IF(COUNTIFS('Agenda 2026'!$Q$2:$Q$376,DATE(2026,1,20),'Agenda 2026'!$M$2:$M$376,1)&gt;=5,CHAR(10)&amp;IFERROR(INDEX('Agenda 2026'!$B$2:$B$376,MATCH(DATE(2026,1,20)*10+5,'Agenda 2026'!$S$2:$S$376,0)),""),"")&amp;IF(COUNTIFS('Agenda 2026'!$Q$2:$Q$376,DATE(2026,1,20),'Agenda 2026'!$M$2:$M$376,1)&gt;=6,CHAR(10)&amp;IFERROR(INDEX('Agenda 2026'!$B$2:$B$376,MATCH(DATE(2026,1,20)*10+6,'Agenda 2026'!$S$2:$S$376,0)),""),"")&amp;IF(COUNTIFS('Agenda 2026'!$Q$2:$Q$376,DATE(2026,1,20),'Agenda 2026'!$M$2:$M$376,1)&gt;=7,CHAR(10)&amp;IFERROR(INDEX('Agenda 2026'!$B$2:$B$376,MATCH(DATE(2026,1,20)*10+7,'Agenda 2026'!$S$2:$S$376,0)),""),"")&amp;IF(COUNTIFS('Agenda 2026'!$Q$2:$Q$376,DATE(2026,1,20),'Agenda 2026'!$M$2:$M$376,1)&gt;=8,CHAR(10)&amp;IFERROR(INDEX('Agenda 2026'!$B$2:$B$376,MATCH(DATE(2026,1,20)*10+8,'Agenda 2026'!$S$2:$S$376,0)),""),"")&amp;IF(COUNTIFS('Agenda 2026'!$Q$2:$Q$376,DATE(2026,1,20),'Agenda 2026'!$M$2:$M$376,1)&gt;=9,CHAR(10)&amp;IFERROR(INDEX('Agenda 2026'!$B$2:$B$376,MATCH(DATE(2026,1,20)*10+9,'Agenda 2026'!$S$2:$S$376,0)),""),"")&amp;IF(COUNTIFS('Agenda 2026'!$Q$2:$Q$376,DATE(2026,1,20),'Agenda 2026'!$M$2:$M$376,1)&gt;=10,CHAR(10)&amp;IFERROR(INDEX('Agenda 2026'!$B$2:$B$376,MATCH(DATE(2026,1,20)*10+10,'Agenda 2026'!$S$2:$S$376,0)),""),"")&amp;IF(COUNTIFS('Agenda 2026'!$Q$2:$Q$376,DATE(2026,1,20),'Agenda 2026'!$M$2:$M$376,1)&gt;=11,CHAR(10)&amp;IFERROR(INDEX('Agenda 2026'!$B$2:$B$376,MATCH(DATE(2026,1,20)*10+11,'Agenda 2026'!$S$2:$S$376,0)),""),"")&amp;IF(COUNTIFS('Agenda 2026'!$Q$2:$Q$376,DATE(2026,1,20),'Agenda 2026'!$M$2:$M$376,1)&gt;=12,CHAR(10)&amp;IFERROR(INDEX('Agenda 2026'!$B$2:$B$376,MATCH(DATE(2026,1,20)*10+12,'Agenda 2026'!$S$2:$S$376,0)),""),"")</f>
        <v>20</v>
      </c>
      <c r="D13" s="58" t="str">
        <f t="array" ref="D13">21&amp;IF(COUNTIFS('Agenda 2026'!$Q$2:$Q$376,DATE(2026,1,21),'Agenda 2026'!$M$2:$M$376,1)&gt;=1,CHAR(10)&amp;IFERROR(INDEX('Agenda 2026'!$B$2:$B$376,MATCH(DATE(2026,1,21)*10+1,'Agenda 2026'!$S$2:$S$376,0)),""),"")&amp;IF(COUNTIFS('Agenda 2026'!$Q$2:$Q$376,DATE(2026,1,21),'Agenda 2026'!$M$2:$M$376,1)&gt;=2,CHAR(10)&amp;IFERROR(INDEX('Agenda 2026'!$B$2:$B$376,MATCH(DATE(2026,1,21)*10+2,'Agenda 2026'!$S$2:$S$376,0)),""),"")&amp;IF(COUNTIFS('Agenda 2026'!$Q$2:$Q$376,DATE(2026,1,21),'Agenda 2026'!$M$2:$M$376,1)&gt;=3,CHAR(10)&amp;IFERROR(INDEX('Agenda 2026'!$B$2:$B$376,MATCH(DATE(2026,1,21)*10+3,'Agenda 2026'!$S$2:$S$376,0)),""),"")&amp;IF(COUNTIFS('Agenda 2026'!$Q$2:$Q$376,DATE(2026,1,21),'Agenda 2026'!$M$2:$M$376,1)&gt;=4,CHAR(10)&amp;IFERROR(INDEX('Agenda 2026'!$B$2:$B$376,MATCH(DATE(2026,1,21)*10+4,'Agenda 2026'!$S$2:$S$376,0)),""),"")&amp;IF(COUNTIFS('Agenda 2026'!$Q$2:$Q$376,DATE(2026,1,21),'Agenda 2026'!$M$2:$M$376,1)&gt;=5,CHAR(10)&amp;IFERROR(INDEX('Agenda 2026'!$B$2:$B$376,MATCH(DATE(2026,1,21)*10+5,'Agenda 2026'!$S$2:$S$376,0)),""),"")&amp;IF(COUNTIFS('Agenda 2026'!$Q$2:$Q$376,DATE(2026,1,21),'Agenda 2026'!$M$2:$M$376,1)&gt;=6,CHAR(10)&amp;IFERROR(INDEX('Agenda 2026'!$B$2:$B$376,MATCH(DATE(2026,1,21)*10+6,'Agenda 2026'!$S$2:$S$376,0)),""),"")&amp;IF(COUNTIFS('Agenda 2026'!$Q$2:$Q$376,DATE(2026,1,21),'Agenda 2026'!$M$2:$M$376,1)&gt;=7,CHAR(10)&amp;IFERROR(INDEX('Agenda 2026'!$B$2:$B$376,MATCH(DATE(2026,1,21)*10+7,'Agenda 2026'!$S$2:$S$376,0)),""),"")&amp;IF(COUNTIFS('Agenda 2026'!$Q$2:$Q$376,DATE(2026,1,21),'Agenda 2026'!$M$2:$M$376,1)&gt;=8,CHAR(10)&amp;IFERROR(INDEX('Agenda 2026'!$B$2:$B$376,MATCH(DATE(2026,1,21)*10+8,'Agenda 2026'!$S$2:$S$376,0)),""),"")&amp;IF(COUNTIFS('Agenda 2026'!$Q$2:$Q$376,DATE(2026,1,21),'Agenda 2026'!$M$2:$M$376,1)&gt;=9,CHAR(10)&amp;IFERROR(INDEX('Agenda 2026'!$B$2:$B$376,MATCH(DATE(2026,1,21)*10+9,'Agenda 2026'!$S$2:$S$376,0)),""),"")&amp;IF(COUNTIFS('Agenda 2026'!$Q$2:$Q$376,DATE(2026,1,21),'Agenda 2026'!$M$2:$M$376,1)&gt;=10,CHAR(10)&amp;IFERROR(INDEX('Agenda 2026'!$B$2:$B$376,MATCH(DATE(2026,1,21)*10+10,'Agenda 2026'!$S$2:$S$376,0)),""),"")&amp;IF(COUNTIFS('Agenda 2026'!$Q$2:$Q$376,DATE(2026,1,21),'Agenda 2026'!$M$2:$M$376,1)&gt;=11,CHAR(10)&amp;IFERROR(INDEX('Agenda 2026'!$B$2:$B$376,MATCH(DATE(2026,1,21)*10+11,'Agenda 2026'!$S$2:$S$376,0)),""),"")&amp;IF(COUNTIFS('Agenda 2026'!$Q$2:$Q$376,DATE(2026,1,21),'Agenda 2026'!$M$2:$M$376,1)&gt;=12,CHAR(10)&amp;IFERROR(INDEX('Agenda 2026'!$B$2:$B$376,MATCH(DATE(2026,1,21)*10+12,'Agenda 2026'!$S$2:$S$376,0)),""),"")</f>
        <v>21</v>
      </c>
      <c r="E13" s="58" t="str">
        <f t="array" ref="E13">22&amp;IF(COUNTIFS('Agenda 2026'!$Q$2:$Q$376,DATE(2026,1,22),'Agenda 2026'!$M$2:$M$376,1)&gt;=1,CHAR(10)&amp;IFERROR(INDEX('Agenda 2026'!$B$2:$B$376,MATCH(DATE(2026,1,22)*10+1,'Agenda 2026'!$S$2:$S$376,0)),""),"")&amp;IF(COUNTIFS('Agenda 2026'!$Q$2:$Q$376,DATE(2026,1,22),'Agenda 2026'!$M$2:$M$376,1)&gt;=2,CHAR(10)&amp;IFERROR(INDEX('Agenda 2026'!$B$2:$B$376,MATCH(DATE(2026,1,22)*10+2,'Agenda 2026'!$S$2:$S$376,0)),""),"")&amp;IF(COUNTIFS('Agenda 2026'!$Q$2:$Q$376,DATE(2026,1,22),'Agenda 2026'!$M$2:$M$376,1)&gt;=3,CHAR(10)&amp;IFERROR(INDEX('Agenda 2026'!$B$2:$B$376,MATCH(DATE(2026,1,22)*10+3,'Agenda 2026'!$S$2:$S$376,0)),""),"")&amp;IF(COUNTIFS('Agenda 2026'!$Q$2:$Q$376,DATE(2026,1,22),'Agenda 2026'!$M$2:$M$376,1)&gt;=4,CHAR(10)&amp;IFERROR(INDEX('Agenda 2026'!$B$2:$B$376,MATCH(DATE(2026,1,22)*10+4,'Agenda 2026'!$S$2:$S$376,0)),""),"")&amp;IF(COUNTIFS('Agenda 2026'!$Q$2:$Q$376,DATE(2026,1,22),'Agenda 2026'!$M$2:$M$376,1)&gt;=5,CHAR(10)&amp;IFERROR(INDEX('Agenda 2026'!$B$2:$B$376,MATCH(DATE(2026,1,22)*10+5,'Agenda 2026'!$S$2:$S$376,0)),""),"")&amp;IF(COUNTIFS('Agenda 2026'!$Q$2:$Q$376,DATE(2026,1,22),'Agenda 2026'!$M$2:$M$376,1)&gt;=6,CHAR(10)&amp;IFERROR(INDEX('Agenda 2026'!$B$2:$B$376,MATCH(DATE(2026,1,22)*10+6,'Agenda 2026'!$S$2:$S$376,0)),""),"")&amp;IF(COUNTIFS('Agenda 2026'!$Q$2:$Q$376,DATE(2026,1,22),'Agenda 2026'!$M$2:$M$376,1)&gt;=7,CHAR(10)&amp;IFERROR(INDEX('Agenda 2026'!$B$2:$B$376,MATCH(DATE(2026,1,22)*10+7,'Agenda 2026'!$S$2:$S$376,0)),""),"")&amp;IF(COUNTIFS('Agenda 2026'!$Q$2:$Q$376,DATE(2026,1,22),'Agenda 2026'!$M$2:$M$376,1)&gt;=8,CHAR(10)&amp;IFERROR(INDEX('Agenda 2026'!$B$2:$B$376,MATCH(DATE(2026,1,22)*10+8,'Agenda 2026'!$S$2:$S$376,0)),""),"")&amp;IF(COUNTIFS('Agenda 2026'!$Q$2:$Q$376,DATE(2026,1,22),'Agenda 2026'!$M$2:$M$376,1)&gt;=9,CHAR(10)&amp;IFERROR(INDEX('Agenda 2026'!$B$2:$B$376,MATCH(DATE(2026,1,22)*10+9,'Agenda 2026'!$S$2:$S$376,0)),""),"")&amp;IF(COUNTIFS('Agenda 2026'!$Q$2:$Q$376,DATE(2026,1,22),'Agenda 2026'!$M$2:$M$376,1)&gt;=10,CHAR(10)&amp;IFERROR(INDEX('Agenda 2026'!$B$2:$B$376,MATCH(DATE(2026,1,22)*10+10,'Agenda 2026'!$S$2:$S$376,0)),""),"")&amp;IF(COUNTIFS('Agenda 2026'!$Q$2:$Q$376,DATE(2026,1,22),'Agenda 2026'!$M$2:$M$376,1)&gt;=11,CHAR(10)&amp;IFERROR(INDEX('Agenda 2026'!$B$2:$B$376,MATCH(DATE(2026,1,22)*10+11,'Agenda 2026'!$S$2:$S$376,0)),""),"")&amp;IF(COUNTIFS('Agenda 2026'!$Q$2:$Q$376,DATE(2026,1,22),'Agenda 2026'!$M$2:$M$376,1)&gt;=12,CHAR(10)&amp;IFERROR(INDEX('Agenda 2026'!$B$2:$B$376,MATCH(DATE(2026,1,22)*10+12,'Agenda 2026'!$S$2:$S$376,0)),""),"")</f>
        <v>22</v>
      </c>
      <c r="F13" s="58" t="str">
        <f t="array" ref="F13">23&amp;IF(COUNTIFS('Agenda 2026'!$Q$2:$Q$376,DATE(2026,1,23),'Agenda 2026'!$M$2:$M$376,1)&gt;=1,CHAR(10)&amp;IFERROR(INDEX('Agenda 2026'!$B$2:$B$376,MATCH(DATE(2026,1,23)*10+1,'Agenda 2026'!$S$2:$S$376,0)),""),"")&amp;IF(COUNTIFS('Agenda 2026'!$Q$2:$Q$376,DATE(2026,1,23),'Agenda 2026'!$M$2:$M$376,1)&gt;=2,CHAR(10)&amp;IFERROR(INDEX('Agenda 2026'!$B$2:$B$376,MATCH(DATE(2026,1,23)*10+2,'Agenda 2026'!$S$2:$S$376,0)),""),"")&amp;IF(COUNTIFS('Agenda 2026'!$Q$2:$Q$376,DATE(2026,1,23),'Agenda 2026'!$M$2:$M$376,1)&gt;=3,CHAR(10)&amp;IFERROR(INDEX('Agenda 2026'!$B$2:$B$376,MATCH(DATE(2026,1,23)*10+3,'Agenda 2026'!$S$2:$S$376,0)),""),"")&amp;IF(COUNTIFS('Agenda 2026'!$Q$2:$Q$376,DATE(2026,1,23),'Agenda 2026'!$M$2:$M$376,1)&gt;=4,CHAR(10)&amp;IFERROR(INDEX('Agenda 2026'!$B$2:$B$376,MATCH(DATE(2026,1,23)*10+4,'Agenda 2026'!$S$2:$S$376,0)),""),"")&amp;IF(COUNTIFS('Agenda 2026'!$Q$2:$Q$376,DATE(2026,1,23),'Agenda 2026'!$M$2:$M$376,1)&gt;=5,CHAR(10)&amp;IFERROR(INDEX('Agenda 2026'!$B$2:$B$376,MATCH(DATE(2026,1,23)*10+5,'Agenda 2026'!$S$2:$S$376,0)),""),"")&amp;IF(COUNTIFS('Agenda 2026'!$Q$2:$Q$376,DATE(2026,1,23),'Agenda 2026'!$M$2:$M$376,1)&gt;=6,CHAR(10)&amp;IFERROR(INDEX('Agenda 2026'!$B$2:$B$376,MATCH(DATE(2026,1,23)*10+6,'Agenda 2026'!$S$2:$S$376,0)),""),"")&amp;IF(COUNTIFS('Agenda 2026'!$Q$2:$Q$376,DATE(2026,1,23),'Agenda 2026'!$M$2:$M$376,1)&gt;=7,CHAR(10)&amp;IFERROR(INDEX('Agenda 2026'!$B$2:$B$376,MATCH(DATE(2026,1,23)*10+7,'Agenda 2026'!$S$2:$S$376,0)),""),"")&amp;IF(COUNTIFS('Agenda 2026'!$Q$2:$Q$376,DATE(2026,1,23),'Agenda 2026'!$M$2:$M$376,1)&gt;=8,CHAR(10)&amp;IFERROR(INDEX('Agenda 2026'!$B$2:$B$376,MATCH(DATE(2026,1,23)*10+8,'Agenda 2026'!$S$2:$S$376,0)),""),"")&amp;IF(COUNTIFS('Agenda 2026'!$Q$2:$Q$376,DATE(2026,1,23),'Agenda 2026'!$M$2:$M$376,1)&gt;=9,CHAR(10)&amp;IFERROR(INDEX('Agenda 2026'!$B$2:$B$376,MATCH(DATE(2026,1,23)*10+9,'Agenda 2026'!$S$2:$S$376,0)),""),"")&amp;IF(COUNTIFS('Agenda 2026'!$Q$2:$Q$376,DATE(2026,1,23),'Agenda 2026'!$M$2:$M$376,1)&gt;=10,CHAR(10)&amp;IFERROR(INDEX('Agenda 2026'!$B$2:$B$376,MATCH(DATE(2026,1,23)*10+10,'Agenda 2026'!$S$2:$S$376,0)),""),"")&amp;IF(COUNTIFS('Agenda 2026'!$Q$2:$Q$376,DATE(2026,1,23),'Agenda 2026'!$M$2:$M$376,1)&gt;=11,CHAR(10)&amp;IFERROR(INDEX('Agenda 2026'!$B$2:$B$376,MATCH(DATE(2026,1,23)*10+11,'Agenda 2026'!$S$2:$S$376,0)),""),"")&amp;IF(COUNTIFS('Agenda 2026'!$Q$2:$Q$376,DATE(2026,1,23),'Agenda 2026'!$M$2:$M$376,1)&gt;=12,CHAR(10)&amp;IFERROR(INDEX('Agenda 2026'!$B$2:$B$376,MATCH(DATE(2026,1,23)*10+12,'Agenda 2026'!$S$2:$S$376,0)),""),"")</f>
        <v>23</v>
      </c>
      <c r="G13" s="58" t="str">
        <f t="array" ref="G13">24&amp;IF(COUNTIFS('Agenda 2026'!$Q$2:$Q$376,DATE(2026,1,24),'Agenda 2026'!$M$2:$M$376,1)&gt;=1,CHAR(10)&amp;IFERROR(INDEX('Agenda 2026'!$B$2:$B$376,MATCH(DATE(2026,1,24)*10+1,'Agenda 2026'!$S$2:$S$376,0)),""),"")&amp;IF(COUNTIFS('Agenda 2026'!$Q$2:$Q$376,DATE(2026,1,24),'Agenda 2026'!$M$2:$M$376,1)&gt;=2,CHAR(10)&amp;IFERROR(INDEX('Agenda 2026'!$B$2:$B$376,MATCH(DATE(2026,1,24)*10+2,'Agenda 2026'!$S$2:$S$376,0)),""),"")&amp;IF(COUNTIFS('Agenda 2026'!$Q$2:$Q$376,DATE(2026,1,24),'Agenda 2026'!$M$2:$M$376,1)&gt;=3,CHAR(10)&amp;IFERROR(INDEX('Agenda 2026'!$B$2:$B$376,MATCH(DATE(2026,1,24)*10+3,'Agenda 2026'!$S$2:$S$376,0)),""),"")&amp;IF(COUNTIFS('Agenda 2026'!$Q$2:$Q$376,DATE(2026,1,24),'Agenda 2026'!$M$2:$M$376,1)&gt;=4,CHAR(10)&amp;IFERROR(INDEX('Agenda 2026'!$B$2:$B$376,MATCH(DATE(2026,1,24)*10+4,'Agenda 2026'!$S$2:$S$376,0)),""),"")&amp;IF(COUNTIFS('Agenda 2026'!$Q$2:$Q$376,DATE(2026,1,24),'Agenda 2026'!$M$2:$M$376,1)&gt;=5,CHAR(10)&amp;IFERROR(INDEX('Agenda 2026'!$B$2:$B$376,MATCH(DATE(2026,1,24)*10+5,'Agenda 2026'!$S$2:$S$376,0)),""),"")&amp;IF(COUNTIFS('Agenda 2026'!$Q$2:$Q$376,DATE(2026,1,24),'Agenda 2026'!$M$2:$M$376,1)&gt;=6,CHAR(10)&amp;IFERROR(INDEX('Agenda 2026'!$B$2:$B$376,MATCH(DATE(2026,1,24)*10+6,'Agenda 2026'!$S$2:$S$376,0)),""),"")&amp;IF(COUNTIFS('Agenda 2026'!$Q$2:$Q$376,DATE(2026,1,24),'Agenda 2026'!$M$2:$M$376,1)&gt;=7,CHAR(10)&amp;IFERROR(INDEX('Agenda 2026'!$B$2:$B$376,MATCH(DATE(2026,1,24)*10+7,'Agenda 2026'!$S$2:$S$376,0)),""),"")&amp;IF(COUNTIFS('Agenda 2026'!$Q$2:$Q$376,DATE(2026,1,24),'Agenda 2026'!$M$2:$M$376,1)&gt;=8,CHAR(10)&amp;IFERROR(INDEX('Agenda 2026'!$B$2:$B$376,MATCH(DATE(2026,1,24)*10+8,'Agenda 2026'!$S$2:$S$376,0)),""),"")&amp;IF(COUNTIFS('Agenda 2026'!$Q$2:$Q$376,DATE(2026,1,24),'Agenda 2026'!$M$2:$M$376,1)&gt;=9,CHAR(10)&amp;IFERROR(INDEX('Agenda 2026'!$B$2:$B$376,MATCH(DATE(2026,1,24)*10+9,'Agenda 2026'!$S$2:$S$376,0)),""),"")&amp;IF(COUNTIFS('Agenda 2026'!$Q$2:$Q$376,DATE(2026,1,24),'Agenda 2026'!$M$2:$M$376,1)&gt;=10,CHAR(10)&amp;IFERROR(INDEX('Agenda 2026'!$B$2:$B$376,MATCH(DATE(2026,1,24)*10+10,'Agenda 2026'!$S$2:$S$376,0)),""),"")&amp;IF(COUNTIFS('Agenda 2026'!$Q$2:$Q$376,DATE(2026,1,24),'Agenda 2026'!$M$2:$M$376,1)&gt;=11,CHAR(10)&amp;IFERROR(INDEX('Agenda 2026'!$B$2:$B$376,MATCH(DATE(2026,1,24)*10+11,'Agenda 2026'!$S$2:$S$376,0)),""),"")&amp;IF(COUNTIFS('Agenda 2026'!$Q$2:$Q$376,DATE(2026,1,24),'Agenda 2026'!$M$2:$M$376,1)&gt;=12,CHAR(10)&amp;IFERROR(INDEX('Agenda 2026'!$B$2:$B$376,MATCH(DATE(2026,1,24)*10+12,'Agenda 2026'!$S$2:$S$376,0)),""),"")</f>
        <v>24</v>
      </c>
      <c r="H13" s="58" t="str">
        <f t="array" ref="H13">25&amp;IF(COUNTIFS('Agenda 2026'!$Q$2:$Q$376,DATE(2026,1,25),'Agenda 2026'!$M$2:$M$376,1)&gt;=1,CHAR(10)&amp;IFERROR(INDEX('Agenda 2026'!$B$2:$B$376,MATCH(DATE(2026,1,25)*10+1,'Agenda 2026'!$S$2:$S$376,0)),""),"")&amp;IF(COUNTIFS('Agenda 2026'!$Q$2:$Q$376,DATE(2026,1,25),'Agenda 2026'!$M$2:$M$376,1)&gt;=2,CHAR(10)&amp;IFERROR(INDEX('Agenda 2026'!$B$2:$B$376,MATCH(DATE(2026,1,25)*10+2,'Agenda 2026'!$S$2:$S$376,0)),""),"")&amp;IF(COUNTIFS('Agenda 2026'!$Q$2:$Q$376,DATE(2026,1,25),'Agenda 2026'!$M$2:$M$376,1)&gt;=3,CHAR(10)&amp;IFERROR(INDEX('Agenda 2026'!$B$2:$B$376,MATCH(DATE(2026,1,25)*10+3,'Agenda 2026'!$S$2:$S$376,0)),""),"")&amp;IF(COUNTIFS('Agenda 2026'!$Q$2:$Q$376,DATE(2026,1,25),'Agenda 2026'!$M$2:$M$376,1)&gt;=4,CHAR(10)&amp;IFERROR(INDEX('Agenda 2026'!$B$2:$B$376,MATCH(DATE(2026,1,25)*10+4,'Agenda 2026'!$S$2:$S$376,0)),""),"")&amp;IF(COUNTIFS('Agenda 2026'!$Q$2:$Q$376,DATE(2026,1,25),'Agenda 2026'!$M$2:$M$376,1)&gt;=5,CHAR(10)&amp;IFERROR(INDEX('Agenda 2026'!$B$2:$B$376,MATCH(DATE(2026,1,25)*10+5,'Agenda 2026'!$S$2:$S$376,0)),""),"")&amp;IF(COUNTIFS('Agenda 2026'!$Q$2:$Q$376,DATE(2026,1,25),'Agenda 2026'!$M$2:$M$376,1)&gt;=6,CHAR(10)&amp;IFERROR(INDEX('Agenda 2026'!$B$2:$B$376,MATCH(DATE(2026,1,25)*10+6,'Agenda 2026'!$S$2:$S$376,0)),""),"")&amp;IF(COUNTIFS('Agenda 2026'!$Q$2:$Q$376,DATE(2026,1,25),'Agenda 2026'!$M$2:$M$376,1)&gt;=7,CHAR(10)&amp;IFERROR(INDEX('Agenda 2026'!$B$2:$B$376,MATCH(DATE(2026,1,25)*10+7,'Agenda 2026'!$S$2:$S$376,0)),""),"")&amp;IF(COUNTIFS('Agenda 2026'!$Q$2:$Q$376,DATE(2026,1,25),'Agenda 2026'!$M$2:$M$376,1)&gt;=8,CHAR(10)&amp;IFERROR(INDEX('Agenda 2026'!$B$2:$B$376,MATCH(DATE(2026,1,25)*10+8,'Agenda 2026'!$S$2:$S$376,0)),""),"")&amp;IF(COUNTIFS('Agenda 2026'!$Q$2:$Q$376,DATE(2026,1,25),'Agenda 2026'!$M$2:$M$376,1)&gt;=9,CHAR(10)&amp;IFERROR(INDEX('Agenda 2026'!$B$2:$B$376,MATCH(DATE(2026,1,25)*10+9,'Agenda 2026'!$S$2:$S$376,0)),""),"")&amp;IF(COUNTIFS('Agenda 2026'!$Q$2:$Q$376,DATE(2026,1,25),'Agenda 2026'!$M$2:$M$376,1)&gt;=10,CHAR(10)&amp;IFERROR(INDEX('Agenda 2026'!$B$2:$B$376,MATCH(DATE(2026,1,25)*10+10,'Agenda 2026'!$S$2:$S$376,0)),""),"")&amp;IF(COUNTIFS('Agenda 2026'!$Q$2:$Q$376,DATE(2026,1,25),'Agenda 2026'!$M$2:$M$376,1)&gt;=11,CHAR(10)&amp;IFERROR(INDEX('Agenda 2026'!$B$2:$B$376,MATCH(DATE(2026,1,25)*10+11,'Agenda 2026'!$S$2:$S$376,0)),""),"")&amp;IF(COUNTIFS('Agenda 2026'!$Q$2:$Q$376,DATE(2026,1,25),'Agenda 2026'!$M$2:$M$376,1)&gt;=12,CHAR(10)&amp;IFERROR(INDEX('Agenda 2026'!$B$2:$B$376,MATCH(DATE(2026,1,25)*10+12,'Agenda 2026'!$S$2:$S$376,0)),""),"")</f>
        <v>25</v>
      </c>
    </row>
    <row r="14" spans="1:9" ht="45.75" customHeight="1" x14ac:dyDescent="0.35">
      <c r="A14" s="17"/>
      <c r="B14" s="58" t="str">
        <f t="array" ref="B14">26&amp;IF(COUNTIFS('Agenda 2026'!$Q$2:$Q$376,DATE(2026,1,26),'Agenda 2026'!$M$2:$M$376,1)&gt;=1,CHAR(10)&amp;IFERROR(INDEX('Agenda 2026'!$B$2:$B$376,MATCH(DATE(2026,1,26)*10+1,'Agenda 2026'!$S$2:$S$376,0)),""),"")&amp;IF(COUNTIFS('Agenda 2026'!$Q$2:$Q$376,DATE(2026,1,26),'Agenda 2026'!$M$2:$M$376,1)&gt;=2,CHAR(10)&amp;IFERROR(INDEX('Agenda 2026'!$B$2:$B$376,MATCH(DATE(2026,1,26)*10+2,'Agenda 2026'!$S$2:$S$376,0)),""),"")&amp;IF(COUNTIFS('Agenda 2026'!$Q$2:$Q$376,DATE(2026,1,26),'Agenda 2026'!$M$2:$M$376,1)&gt;=3,CHAR(10)&amp;IFERROR(INDEX('Agenda 2026'!$B$2:$B$376,MATCH(DATE(2026,1,26)*10+3,'Agenda 2026'!$S$2:$S$376,0)),""),"")&amp;IF(COUNTIFS('Agenda 2026'!$Q$2:$Q$376,DATE(2026,1,26),'Agenda 2026'!$M$2:$M$376,1)&gt;=4,CHAR(10)&amp;IFERROR(INDEX('Agenda 2026'!$B$2:$B$376,MATCH(DATE(2026,1,26)*10+4,'Agenda 2026'!$S$2:$S$376,0)),""),"")&amp;IF(COUNTIFS('Agenda 2026'!$Q$2:$Q$376,DATE(2026,1,26),'Agenda 2026'!$M$2:$M$376,1)&gt;=5,CHAR(10)&amp;IFERROR(INDEX('Agenda 2026'!$B$2:$B$376,MATCH(DATE(2026,1,26)*10+5,'Agenda 2026'!$S$2:$S$376,0)),""),"")&amp;IF(COUNTIFS('Agenda 2026'!$Q$2:$Q$376,DATE(2026,1,26),'Agenda 2026'!$M$2:$M$376,1)&gt;=6,CHAR(10)&amp;IFERROR(INDEX('Agenda 2026'!$B$2:$B$376,MATCH(DATE(2026,1,26)*10+6,'Agenda 2026'!$S$2:$S$376,0)),""),"")&amp;IF(COUNTIFS('Agenda 2026'!$Q$2:$Q$376,DATE(2026,1,26),'Agenda 2026'!$M$2:$M$376,1)&gt;=7,CHAR(10)&amp;IFERROR(INDEX('Agenda 2026'!$B$2:$B$376,MATCH(DATE(2026,1,26)*10+7,'Agenda 2026'!$S$2:$S$376,0)),""),"")&amp;IF(COUNTIFS('Agenda 2026'!$Q$2:$Q$376,DATE(2026,1,26),'Agenda 2026'!$M$2:$M$376,1)&gt;=8,CHAR(10)&amp;IFERROR(INDEX('Agenda 2026'!$B$2:$B$376,MATCH(DATE(2026,1,26)*10+8,'Agenda 2026'!$S$2:$S$376,0)),""),"")&amp;IF(COUNTIFS('Agenda 2026'!$Q$2:$Q$376,DATE(2026,1,26),'Agenda 2026'!$M$2:$M$376,1)&gt;=9,CHAR(10)&amp;IFERROR(INDEX('Agenda 2026'!$B$2:$B$376,MATCH(DATE(2026,1,26)*10+9,'Agenda 2026'!$S$2:$S$376,0)),""),"")&amp;IF(COUNTIFS('Agenda 2026'!$Q$2:$Q$376,DATE(2026,1,26),'Agenda 2026'!$M$2:$M$376,1)&gt;=10,CHAR(10)&amp;IFERROR(INDEX('Agenda 2026'!$B$2:$B$376,MATCH(DATE(2026,1,26)*10+10,'Agenda 2026'!$S$2:$S$376,0)),""),"")&amp;IF(COUNTIFS('Agenda 2026'!$Q$2:$Q$376,DATE(2026,1,26),'Agenda 2026'!$M$2:$M$376,1)&gt;=11,CHAR(10)&amp;IFERROR(INDEX('Agenda 2026'!$B$2:$B$376,MATCH(DATE(2026,1,26)*10+11,'Agenda 2026'!$S$2:$S$376,0)),""),"")&amp;IF(COUNTIFS('Agenda 2026'!$Q$2:$Q$376,DATE(2026,1,26),'Agenda 2026'!$M$2:$M$376,1)&gt;=12,CHAR(10)&amp;IFERROR(INDEX('Agenda 2026'!$B$2:$B$376,MATCH(DATE(2026,1,26)*10+12,'Agenda 2026'!$S$2:$S$376,0)),""),"")</f>
        <v>26</v>
      </c>
      <c r="C14" s="58" t="str">
        <f t="array" ref="C14">27&amp;IF(COUNTIFS('Agenda 2026'!$Q$2:$Q$376,DATE(2026,1,27),'Agenda 2026'!$M$2:$M$376,1)&gt;=1,CHAR(10)&amp;IFERROR(INDEX('Agenda 2026'!$B$2:$B$376,MATCH(DATE(2026,1,27)*10+1,'Agenda 2026'!$S$2:$S$376,0)),""),"")&amp;IF(COUNTIFS('Agenda 2026'!$Q$2:$Q$376,DATE(2026,1,27),'Agenda 2026'!$M$2:$M$376,1)&gt;=2,CHAR(10)&amp;IFERROR(INDEX('Agenda 2026'!$B$2:$B$376,MATCH(DATE(2026,1,27)*10+2,'Agenda 2026'!$S$2:$S$376,0)),""),"")&amp;IF(COUNTIFS('Agenda 2026'!$Q$2:$Q$376,DATE(2026,1,27),'Agenda 2026'!$M$2:$M$376,1)&gt;=3,CHAR(10)&amp;IFERROR(INDEX('Agenda 2026'!$B$2:$B$376,MATCH(DATE(2026,1,27)*10+3,'Agenda 2026'!$S$2:$S$376,0)),""),"")&amp;IF(COUNTIFS('Agenda 2026'!$Q$2:$Q$376,DATE(2026,1,27),'Agenda 2026'!$M$2:$M$376,1)&gt;=4,CHAR(10)&amp;IFERROR(INDEX('Agenda 2026'!$B$2:$B$376,MATCH(DATE(2026,1,27)*10+4,'Agenda 2026'!$S$2:$S$376,0)),""),"")&amp;IF(COUNTIFS('Agenda 2026'!$Q$2:$Q$376,DATE(2026,1,27),'Agenda 2026'!$M$2:$M$376,1)&gt;=5,CHAR(10)&amp;IFERROR(INDEX('Agenda 2026'!$B$2:$B$376,MATCH(DATE(2026,1,27)*10+5,'Agenda 2026'!$S$2:$S$376,0)),""),"")&amp;IF(COUNTIFS('Agenda 2026'!$Q$2:$Q$376,DATE(2026,1,27),'Agenda 2026'!$M$2:$M$376,1)&gt;=6,CHAR(10)&amp;IFERROR(INDEX('Agenda 2026'!$B$2:$B$376,MATCH(DATE(2026,1,27)*10+6,'Agenda 2026'!$S$2:$S$376,0)),""),"")&amp;IF(COUNTIFS('Agenda 2026'!$Q$2:$Q$376,DATE(2026,1,27),'Agenda 2026'!$M$2:$M$376,1)&gt;=7,CHAR(10)&amp;IFERROR(INDEX('Agenda 2026'!$B$2:$B$376,MATCH(DATE(2026,1,27)*10+7,'Agenda 2026'!$S$2:$S$376,0)),""),"")&amp;IF(COUNTIFS('Agenda 2026'!$Q$2:$Q$376,DATE(2026,1,27),'Agenda 2026'!$M$2:$M$376,1)&gt;=8,CHAR(10)&amp;IFERROR(INDEX('Agenda 2026'!$B$2:$B$376,MATCH(DATE(2026,1,27)*10+8,'Agenda 2026'!$S$2:$S$376,0)),""),"")&amp;IF(COUNTIFS('Agenda 2026'!$Q$2:$Q$376,DATE(2026,1,27),'Agenda 2026'!$M$2:$M$376,1)&gt;=9,CHAR(10)&amp;IFERROR(INDEX('Agenda 2026'!$B$2:$B$376,MATCH(DATE(2026,1,27)*10+9,'Agenda 2026'!$S$2:$S$376,0)),""),"")&amp;IF(COUNTIFS('Agenda 2026'!$Q$2:$Q$376,DATE(2026,1,27),'Agenda 2026'!$M$2:$M$376,1)&gt;=10,CHAR(10)&amp;IFERROR(INDEX('Agenda 2026'!$B$2:$B$376,MATCH(DATE(2026,1,27)*10+10,'Agenda 2026'!$S$2:$S$376,0)),""),"")&amp;IF(COUNTIFS('Agenda 2026'!$Q$2:$Q$376,DATE(2026,1,27),'Agenda 2026'!$M$2:$M$376,1)&gt;=11,CHAR(10)&amp;IFERROR(INDEX('Agenda 2026'!$B$2:$B$376,MATCH(DATE(2026,1,27)*10+11,'Agenda 2026'!$S$2:$S$376,0)),""),"")&amp;IF(COUNTIFS('Agenda 2026'!$Q$2:$Q$376,DATE(2026,1,27),'Agenda 2026'!$M$2:$M$376,1)&gt;=12,CHAR(10)&amp;IFERROR(INDEX('Agenda 2026'!$B$2:$B$376,MATCH(DATE(2026,1,27)*10+12,'Agenda 2026'!$S$2:$S$376,0)),""),"")</f>
        <v>27</v>
      </c>
      <c r="D14" s="58" t="str">
        <f t="array" ref="D14">28&amp;IF(COUNTIFS('Agenda 2026'!$Q$2:$Q$376,DATE(2026,1,28),'Agenda 2026'!$M$2:$M$376,1)&gt;=1,CHAR(10)&amp;IFERROR(INDEX('Agenda 2026'!$B$2:$B$376,MATCH(DATE(2026,1,28)*10+1,'Agenda 2026'!$S$2:$S$376,0)),""),"")&amp;IF(COUNTIFS('Agenda 2026'!$Q$2:$Q$376,DATE(2026,1,28),'Agenda 2026'!$M$2:$M$376,1)&gt;=2,CHAR(10)&amp;IFERROR(INDEX('Agenda 2026'!$B$2:$B$376,MATCH(DATE(2026,1,28)*10+2,'Agenda 2026'!$S$2:$S$376,0)),""),"")&amp;IF(COUNTIFS('Agenda 2026'!$Q$2:$Q$376,DATE(2026,1,28),'Agenda 2026'!$M$2:$M$376,1)&gt;=3,CHAR(10)&amp;IFERROR(INDEX('Agenda 2026'!$B$2:$B$376,MATCH(DATE(2026,1,28)*10+3,'Agenda 2026'!$S$2:$S$376,0)),""),"")&amp;IF(COUNTIFS('Agenda 2026'!$Q$2:$Q$376,DATE(2026,1,28),'Agenda 2026'!$M$2:$M$376,1)&gt;=4,CHAR(10)&amp;IFERROR(INDEX('Agenda 2026'!$B$2:$B$376,MATCH(DATE(2026,1,28)*10+4,'Agenda 2026'!$S$2:$S$376,0)),""),"")&amp;IF(COUNTIFS('Agenda 2026'!$Q$2:$Q$376,DATE(2026,1,28),'Agenda 2026'!$M$2:$M$376,1)&gt;=5,CHAR(10)&amp;IFERROR(INDEX('Agenda 2026'!$B$2:$B$376,MATCH(DATE(2026,1,28)*10+5,'Agenda 2026'!$S$2:$S$376,0)),""),"")&amp;IF(COUNTIFS('Agenda 2026'!$Q$2:$Q$376,DATE(2026,1,28),'Agenda 2026'!$M$2:$M$376,1)&gt;=6,CHAR(10)&amp;IFERROR(INDEX('Agenda 2026'!$B$2:$B$376,MATCH(DATE(2026,1,28)*10+6,'Agenda 2026'!$S$2:$S$376,0)),""),"")&amp;IF(COUNTIFS('Agenda 2026'!$Q$2:$Q$376,DATE(2026,1,28),'Agenda 2026'!$M$2:$M$376,1)&gt;=7,CHAR(10)&amp;IFERROR(INDEX('Agenda 2026'!$B$2:$B$376,MATCH(DATE(2026,1,28)*10+7,'Agenda 2026'!$S$2:$S$376,0)),""),"")&amp;IF(COUNTIFS('Agenda 2026'!$Q$2:$Q$376,DATE(2026,1,28),'Agenda 2026'!$M$2:$M$376,1)&gt;=8,CHAR(10)&amp;IFERROR(INDEX('Agenda 2026'!$B$2:$B$376,MATCH(DATE(2026,1,28)*10+8,'Agenda 2026'!$S$2:$S$376,0)),""),"")&amp;IF(COUNTIFS('Agenda 2026'!$Q$2:$Q$376,DATE(2026,1,28),'Agenda 2026'!$M$2:$M$376,1)&gt;=9,CHAR(10)&amp;IFERROR(INDEX('Agenda 2026'!$B$2:$B$376,MATCH(DATE(2026,1,28)*10+9,'Agenda 2026'!$S$2:$S$376,0)),""),"")&amp;IF(COUNTIFS('Agenda 2026'!$Q$2:$Q$376,DATE(2026,1,28),'Agenda 2026'!$M$2:$M$376,1)&gt;=10,CHAR(10)&amp;IFERROR(INDEX('Agenda 2026'!$B$2:$B$376,MATCH(DATE(2026,1,28)*10+10,'Agenda 2026'!$S$2:$S$376,0)),""),"")&amp;IF(COUNTIFS('Agenda 2026'!$Q$2:$Q$376,DATE(2026,1,28),'Agenda 2026'!$M$2:$M$376,1)&gt;=11,CHAR(10)&amp;IFERROR(INDEX('Agenda 2026'!$B$2:$B$376,MATCH(DATE(2026,1,28)*10+11,'Agenda 2026'!$S$2:$S$376,0)),""),"")&amp;IF(COUNTIFS('Agenda 2026'!$Q$2:$Q$376,DATE(2026,1,28),'Agenda 2026'!$M$2:$M$376,1)&gt;=12,CHAR(10)&amp;IFERROR(INDEX('Agenda 2026'!$B$2:$B$376,MATCH(DATE(2026,1,28)*10+12,'Agenda 2026'!$S$2:$S$376,0)),""),"")</f>
        <v>28</v>
      </c>
      <c r="E14" s="58" t="str">
        <f t="array" ref="E14">29&amp;IF(COUNTIFS('Agenda 2026'!$Q$2:$Q$376,DATE(2026,1,29),'Agenda 2026'!$M$2:$M$376,1)&gt;=1,CHAR(10)&amp;IFERROR(INDEX('Agenda 2026'!$B$2:$B$376,MATCH(DATE(2026,1,29)*10+1,'Agenda 2026'!$S$2:$S$376,0)),""),"")&amp;IF(COUNTIFS('Agenda 2026'!$Q$2:$Q$376,DATE(2026,1,29),'Agenda 2026'!$M$2:$M$376,1)&gt;=2,CHAR(10)&amp;IFERROR(INDEX('Agenda 2026'!$B$2:$B$376,MATCH(DATE(2026,1,29)*10+2,'Agenda 2026'!$S$2:$S$376,0)),""),"")&amp;IF(COUNTIFS('Agenda 2026'!$Q$2:$Q$376,DATE(2026,1,29),'Agenda 2026'!$M$2:$M$376,1)&gt;=3,CHAR(10)&amp;IFERROR(INDEX('Agenda 2026'!$B$2:$B$376,MATCH(DATE(2026,1,29)*10+3,'Agenda 2026'!$S$2:$S$376,0)),""),"")&amp;IF(COUNTIFS('Agenda 2026'!$Q$2:$Q$376,DATE(2026,1,29),'Agenda 2026'!$M$2:$M$376,1)&gt;=4,CHAR(10)&amp;IFERROR(INDEX('Agenda 2026'!$B$2:$B$376,MATCH(DATE(2026,1,29)*10+4,'Agenda 2026'!$S$2:$S$376,0)),""),"")&amp;IF(COUNTIFS('Agenda 2026'!$Q$2:$Q$376,DATE(2026,1,29),'Agenda 2026'!$M$2:$M$376,1)&gt;=5,CHAR(10)&amp;IFERROR(INDEX('Agenda 2026'!$B$2:$B$376,MATCH(DATE(2026,1,29)*10+5,'Agenda 2026'!$S$2:$S$376,0)),""),"")&amp;IF(COUNTIFS('Agenda 2026'!$Q$2:$Q$376,DATE(2026,1,29),'Agenda 2026'!$M$2:$M$376,1)&gt;=6,CHAR(10)&amp;IFERROR(INDEX('Agenda 2026'!$B$2:$B$376,MATCH(DATE(2026,1,29)*10+6,'Agenda 2026'!$S$2:$S$376,0)),""),"")&amp;IF(COUNTIFS('Agenda 2026'!$Q$2:$Q$376,DATE(2026,1,29),'Agenda 2026'!$M$2:$M$376,1)&gt;=7,CHAR(10)&amp;IFERROR(INDEX('Agenda 2026'!$B$2:$B$376,MATCH(DATE(2026,1,29)*10+7,'Agenda 2026'!$S$2:$S$376,0)),""),"")&amp;IF(COUNTIFS('Agenda 2026'!$Q$2:$Q$376,DATE(2026,1,29),'Agenda 2026'!$M$2:$M$376,1)&gt;=8,CHAR(10)&amp;IFERROR(INDEX('Agenda 2026'!$B$2:$B$376,MATCH(DATE(2026,1,29)*10+8,'Agenda 2026'!$S$2:$S$376,0)),""),"")&amp;IF(COUNTIFS('Agenda 2026'!$Q$2:$Q$376,DATE(2026,1,29),'Agenda 2026'!$M$2:$M$376,1)&gt;=9,CHAR(10)&amp;IFERROR(INDEX('Agenda 2026'!$B$2:$B$376,MATCH(DATE(2026,1,29)*10+9,'Agenda 2026'!$S$2:$S$376,0)),""),"")&amp;IF(COUNTIFS('Agenda 2026'!$Q$2:$Q$376,DATE(2026,1,29),'Agenda 2026'!$M$2:$M$376,1)&gt;=10,CHAR(10)&amp;IFERROR(INDEX('Agenda 2026'!$B$2:$B$376,MATCH(DATE(2026,1,29)*10+10,'Agenda 2026'!$S$2:$S$376,0)),""),"")&amp;IF(COUNTIFS('Agenda 2026'!$Q$2:$Q$376,DATE(2026,1,29),'Agenda 2026'!$M$2:$M$376,1)&gt;=11,CHAR(10)&amp;IFERROR(INDEX('Agenda 2026'!$B$2:$B$376,MATCH(DATE(2026,1,29)*10+11,'Agenda 2026'!$S$2:$S$376,0)),""),"")&amp;IF(COUNTIFS('Agenda 2026'!$Q$2:$Q$376,DATE(2026,1,29),'Agenda 2026'!$M$2:$M$376,1)&gt;=12,CHAR(10)&amp;IFERROR(INDEX('Agenda 2026'!$B$2:$B$376,MATCH(DATE(2026,1,29)*10+12,'Agenda 2026'!$S$2:$S$376,0)),""),"")</f>
        <v>29</v>
      </c>
      <c r="F14" s="58" t="str">
        <f t="array" ref="F14">30&amp;IF(COUNTIFS('Agenda 2026'!$Q$2:$Q$376,DATE(2026,1,30),'Agenda 2026'!$M$2:$M$376,1)&gt;=1,CHAR(10)&amp;IFERROR(INDEX('Agenda 2026'!$B$2:$B$376,MATCH(DATE(2026,1,30)*10+1,'Agenda 2026'!$S$2:$S$376,0)),""),"")&amp;IF(COUNTIFS('Agenda 2026'!$Q$2:$Q$376,DATE(2026,1,30),'Agenda 2026'!$M$2:$M$376,1)&gt;=2,CHAR(10)&amp;IFERROR(INDEX('Agenda 2026'!$B$2:$B$376,MATCH(DATE(2026,1,30)*10+2,'Agenda 2026'!$S$2:$S$376,0)),""),"")&amp;IF(COUNTIFS('Agenda 2026'!$Q$2:$Q$376,DATE(2026,1,30),'Agenda 2026'!$M$2:$M$376,1)&gt;=3,CHAR(10)&amp;IFERROR(INDEX('Agenda 2026'!$B$2:$B$376,MATCH(DATE(2026,1,30)*10+3,'Agenda 2026'!$S$2:$S$376,0)),""),"")&amp;IF(COUNTIFS('Agenda 2026'!$Q$2:$Q$376,DATE(2026,1,30),'Agenda 2026'!$M$2:$M$376,1)&gt;=4,CHAR(10)&amp;IFERROR(INDEX('Agenda 2026'!$B$2:$B$376,MATCH(DATE(2026,1,30)*10+4,'Agenda 2026'!$S$2:$S$376,0)),""),"")&amp;IF(COUNTIFS('Agenda 2026'!$Q$2:$Q$376,DATE(2026,1,30),'Agenda 2026'!$M$2:$M$376,1)&gt;=5,CHAR(10)&amp;IFERROR(INDEX('Agenda 2026'!$B$2:$B$376,MATCH(DATE(2026,1,30)*10+5,'Agenda 2026'!$S$2:$S$376,0)),""),"")&amp;IF(COUNTIFS('Agenda 2026'!$Q$2:$Q$376,DATE(2026,1,30),'Agenda 2026'!$M$2:$M$376,1)&gt;=6,CHAR(10)&amp;IFERROR(INDEX('Agenda 2026'!$B$2:$B$376,MATCH(DATE(2026,1,30)*10+6,'Agenda 2026'!$S$2:$S$376,0)),""),"")&amp;IF(COUNTIFS('Agenda 2026'!$Q$2:$Q$376,DATE(2026,1,30),'Agenda 2026'!$M$2:$M$376,1)&gt;=7,CHAR(10)&amp;IFERROR(INDEX('Agenda 2026'!$B$2:$B$376,MATCH(DATE(2026,1,30)*10+7,'Agenda 2026'!$S$2:$S$376,0)),""),"")&amp;IF(COUNTIFS('Agenda 2026'!$Q$2:$Q$376,DATE(2026,1,30),'Agenda 2026'!$M$2:$M$376,1)&gt;=8,CHAR(10)&amp;IFERROR(INDEX('Agenda 2026'!$B$2:$B$376,MATCH(DATE(2026,1,30)*10+8,'Agenda 2026'!$S$2:$S$376,0)),""),"")&amp;IF(COUNTIFS('Agenda 2026'!$Q$2:$Q$376,DATE(2026,1,30),'Agenda 2026'!$M$2:$M$376,1)&gt;=9,CHAR(10)&amp;IFERROR(INDEX('Agenda 2026'!$B$2:$B$376,MATCH(DATE(2026,1,30)*10+9,'Agenda 2026'!$S$2:$S$376,0)),""),"")&amp;IF(COUNTIFS('Agenda 2026'!$Q$2:$Q$376,DATE(2026,1,30),'Agenda 2026'!$M$2:$M$376,1)&gt;=10,CHAR(10)&amp;IFERROR(INDEX('Agenda 2026'!$B$2:$B$376,MATCH(DATE(2026,1,30)*10+10,'Agenda 2026'!$S$2:$S$376,0)),""),"")&amp;IF(COUNTIFS('Agenda 2026'!$Q$2:$Q$376,DATE(2026,1,30),'Agenda 2026'!$M$2:$M$376,1)&gt;=11,CHAR(10)&amp;IFERROR(INDEX('Agenda 2026'!$B$2:$B$376,MATCH(DATE(2026,1,30)*10+11,'Agenda 2026'!$S$2:$S$376,0)),""),"")&amp;IF(COUNTIFS('Agenda 2026'!$Q$2:$Q$376,DATE(2026,1,30),'Agenda 2026'!$M$2:$M$376,1)&gt;=12,CHAR(10)&amp;IFERROR(INDEX('Agenda 2026'!$B$2:$B$376,MATCH(DATE(2026,1,30)*10+12,'Agenda 2026'!$S$2:$S$376,0)),""),"")</f>
        <v>30</v>
      </c>
      <c r="G14" s="58" t="str">
        <f t="array" ref="G14">31&amp;IF(COUNTIFS('Agenda 2026'!$Q$2:$Q$376,DATE(2026,1,31),'Agenda 2026'!$M$2:$M$376,1)&gt;=1,CHAR(10)&amp;IFERROR(INDEX('Agenda 2026'!$B$2:$B$376,MATCH(DATE(2026,1,31)*10+1,'Agenda 2026'!$S$2:$S$376,0)),""),"")&amp;IF(COUNTIFS('Agenda 2026'!$Q$2:$Q$376,DATE(2026,1,31),'Agenda 2026'!$M$2:$M$376,1)&gt;=2,CHAR(10)&amp;IFERROR(INDEX('Agenda 2026'!$B$2:$B$376,MATCH(DATE(2026,1,31)*10+2,'Agenda 2026'!$S$2:$S$376,0)),""),"")&amp;IF(COUNTIFS('Agenda 2026'!$Q$2:$Q$376,DATE(2026,1,31),'Agenda 2026'!$M$2:$M$376,1)&gt;=3,CHAR(10)&amp;IFERROR(INDEX('Agenda 2026'!$B$2:$B$376,MATCH(DATE(2026,1,31)*10+3,'Agenda 2026'!$S$2:$S$376,0)),""),"")&amp;IF(COUNTIFS('Agenda 2026'!$Q$2:$Q$376,DATE(2026,1,31),'Agenda 2026'!$M$2:$M$376,1)&gt;=4,CHAR(10)&amp;IFERROR(INDEX('Agenda 2026'!$B$2:$B$376,MATCH(DATE(2026,1,31)*10+4,'Agenda 2026'!$S$2:$S$376,0)),""),"")&amp;IF(COUNTIFS('Agenda 2026'!$Q$2:$Q$376,DATE(2026,1,31),'Agenda 2026'!$M$2:$M$376,1)&gt;=5,CHAR(10)&amp;IFERROR(INDEX('Agenda 2026'!$B$2:$B$376,MATCH(DATE(2026,1,31)*10+5,'Agenda 2026'!$S$2:$S$376,0)),""),"")&amp;IF(COUNTIFS('Agenda 2026'!$Q$2:$Q$376,DATE(2026,1,31),'Agenda 2026'!$M$2:$M$376,1)&gt;=6,CHAR(10)&amp;IFERROR(INDEX('Agenda 2026'!$B$2:$B$376,MATCH(DATE(2026,1,31)*10+6,'Agenda 2026'!$S$2:$S$376,0)),""),"")&amp;IF(COUNTIFS('Agenda 2026'!$Q$2:$Q$376,DATE(2026,1,31),'Agenda 2026'!$M$2:$M$376,1)&gt;=7,CHAR(10)&amp;IFERROR(INDEX('Agenda 2026'!$B$2:$B$376,MATCH(DATE(2026,1,31)*10+7,'Agenda 2026'!$S$2:$S$376,0)),""),"")&amp;IF(COUNTIFS('Agenda 2026'!$Q$2:$Q$376,DATE(2026,1,31),'Agenda 2026'!$M$2:$M$376,1)&gt;=8,CHAR(10)&amp;IFERROR(INDEX('Agenda 2026'!$B$2:$B$376,MATCH(DATE(2026,1,31)*10+8,'Agenda 2026'!$S$2:$S$376,0)),""),"")&amp;IF(COUNTIFS('Agenda 2026'!$Q$2:$Q$376,DATE(2026,1,31),'Agenda 2026'!$M$2:$M$376,1)&gt;=9,CHAR(10)&amp;IFERROR(INDEX('Agenda 2026'!$B$2:$B$376,MATCH(DATE(2026,1,31)*10+9,'Agenda 2026'!$S$2:$S$376,0)),""),"")&amp;IF(COUNTIFS('Agenda 2026'!$Q$2:$Q$376,DATE(2026,1,31),'Agenda 2026'!$M$2:$M$376,1)&gt;=10,CHAR(10)&amp;IFERROR(INDEX('Agenda 2026'!$B$2:$B$376,MATCH(DATE(2026,1,31)*10+10,'Agenda 2026'!$S$2:$S$376,0)),""),"")&amp;IF(COUNTIFS('Agenda 2026'!$Q$2:$Q$376,DATE(2026,1,31),'Agenda 2026'!$M$2:$M$376,1)&gt;=11,CHAR(10)&amp;IFERROR(INDEX('Agenda 2026'!$B$2:$B$376,MATCH(DATE(2026,1,31)*10+11,'Agenda 2026'!$S$2:$S$376,0)),""),"")&amp;IF(COUNTIFS('Agenda 2026'!$Q$2:$Q$376,DATE(2026,1,31),'Agenda 2026'!$M$2:$M$376,1)&gt;=12,CHAR(10)&amp;IFERROR(INDEX('Agenda 2026'!$B$2:$B$376,MATCH(DATE(2026,1,31)*10+12,'Agenda 2026'!$S$2:$S$376,0)),""),"")</f>
        <v>31</v>
      </c>
      <c r="H14" s="57"/>
    </row>
    <row r="15" spans="1:9" ht="21.75" customHeight="1" x14ac:dyDescent="0.35">
      <c r="A15" s="17"/>
      <c r="B15" s="57"/>
      <c r="C15" s="57"/>
      <c r="D15" s="57"/>
      <c r="E15" s="57"/>
      <c r="F15" s="57"/>
      <c r="G15" s="57"/>
      <c r="H15" s="57"/>
    </row>
    <row r="16" spans="1:9" ht="15" customHeight="1" x14ac:dyDescent="0.35">
      <c r="A16" s="17"/>
      <c r="B16" s="17"/>
      <c r="C16" s="17"/>
      <c r="D16" s="17"/>
      <c r="E16" s="17"/>
      <c r="F16" s="17"/>
      <c r="G16" s="17"/>
      <c r="H16" s="17"/>
    </row>
    <row r="17" spans="1:8" ht="21.75" customHeight="1" x14ac:dyDescent="0.35">
      <c r="A17" s="17"/>
      <c r="B17" s="10" t="s">
        <v>65</v>
      </c>
      <c r="C17" s="10"/>
      <c r="D17" s="10"/>
      <c r="E17" s="10"/>
      <c r="F17" s="10"/>
      <c r="G17" s="10"/>
      <c r="H17" s="10"/>
    </row>
    <row r="18" spans="1:8" ht="15.75" customHeight="1" x14ac:dyDescent="0.35">
      <c r="A18" s="17"/>
      <c r="B18" s="56" t="s">
        <v>58</v>
      </c>
      <c r="C18" s="56" t="s">
        <v>59</v>
      </c>
      <c r="D18" s="56" t="s">
        <v>60</v>
      </c>
      <c r="E18" s="56" t="s">
        <v>61</v>
      </c>
      <c r="F18" s="56" t="s">
        <v>62</v>
      </c>
      <c r="G18" s="56" t="s">
        <v>63</v>
      </c>
      <c r="H18" s="56" t="s">
        <v>64</v>
      </c>
    </row>
    <row r="19" spans="1:8" ht="33.75" customHeight="1" x14ac:dyDescent="0.35">
      <c r="A19" s="17"/>
      <c r="B19" s="57"/>
      <c r="C19" s="57"/>
      <c r="D19" s="57"/>
      <c r="E19" s="57"/>
      <c r="F19" s="57"/>
      <c r="G19" s="57"/>
      <c r="H19" s="58" t="str">
        <f t="array" ref="H19">1&amp;IF(COUNTIFS('Agenda 2026'!$Q$2:$Q$376,DATE(2026,2,1),'Agenda 2026'!$M$2:$M$376,1)&gt;=1,CHAR(10)&amp;IFERROR(INDEX('Agenda 2026'!$B$2:$B$376,MATCH(DATE(2026,2,1)*10+1,'Agenda 2026'!$S$2:$S$376,0)),""),"")&amp;IF(COUNTIFS('Agenda 2026'!$Q$2:$Q$376,DATE(2026,2,1),'Agenda 2026'!$M$2:$M$376,1)&gt;=2,CHAR(10)&amp;IFERROR(INDEX('Agenda 2026'!$B$2:$B$376,MATCH(DATE(2026,2,1)*10+2,'Agenda 2026'!$S$2:$S$376,0)),""),"")&amp;IF(COUNTIFS('Agenda 2026'!$Q$2:$Q$376,DATE(2026,2,1),'Agenda 2026'!$M$2:$M$376,1)&gt;=3,CHAR(10)&amp;IFERROR(INDEX('Agenda 2026'!$B$2:$B$376,MATCH(DATE(2026,2,1)*10+3,'Agenda 2026'!$S$2:$S$376,0)),""),"")&amp;IF(COUNTIFS('Agenda 2026'!$Q$2:$Q$376,DATE(2026,2,1),'Agenda 2026'!$M$2:$M$376,1)&gt;=4,CHAR(10)&amp;IFERROR(INDEX('Agenda 2026'!$B$2:$B$376,MATCH(DATE(2026,2,1)*10+4,'Agenda 2026'!$S$2:$S$376,0)),""),"")&amp;IF(COUNTIFS('Agenda 2026'!$Q$2:$Q$376,DATE(2026,2,1),'Agenda 2026'!$M$2:$M$376,1)&gt;=5,CHAR(10)&amp;IFERROR(INDEX('Agenda 2026'!$B$2:$B$376,MATCH(DATE(2026,2,1)*10+5,'Agenda 2026'!$S$2:$S$376,0)),""),"")&amp;IF(COUNTIFS('Agenda 2026'!$Q$2:$Q$376,DATE(2026,2,1),'Agenda 2026'!$M$2:$M$376,1)&gt;=6,CHAR(10)&amp;IFERROR(INDEX('Agenda 2026'!$B$2:$B$376,MATCH(DATE(2026,2,1)*10+6,'Agenda 2026'!$S$2:$S$376,0)),""),"")&amp;IF(COUNTIFS('Agenda 2026'!$Q$2:$Q$376,DATE(2026,2,1),'Agenda 2026'!$M$2:$M$376,1)&gt;=7,CHAR(10)&amp;IFERROR(INDEX('Agenda 2026'!$B$2:$B$376,MATCH(DATE(2026,2,1)*10+7,'Agenda 2026'!$S$2:$S$376,0)),""),"")&amp;IF(COUNTIFS('Agenda 2026'!$Q$2:$Q$376,DATE(2026,2,1),'Agenda 2026'!$M$2:$M$376,1)&gt;=8,CHAR(10)&amp;IFERROR(INDEX('Agenda 2026'!$B$2:$B$376,MATCH(DATE(2026,2,1)*10+8,'Agenda 2026'!$S$2:$S$376,0)),""),"")&amp;IF(COUNTIFS('Agenda 2026'!$Q$2:$Q$376,DATE(2026,2,1),'Agenda 2026'!$M$2:$M$376,1)&gt;=9,CHAR(10)&amp;IFERROR(INDEX('Agenda 2026'!$B$2:$B$376,MATCH(DATE(2026,2,1)*10+9,'Agenda 2026'!$S$2:$S$376,0)),""),"")&amp;IF(COUNTIFS('Agenda 2026'!$Q$2:$Q$376,DATE(2026,2,1),'Agenda 2026'!$M$2:$M$376,1)&gt;=10,CHAR(10)&amp;IFERROR(INDEX('Agenda 2026'!$B$2:$B$376,MATCH(DATE(2026,2,1)*10+10,'Agenda 2026'!$S$2:$S$376,0)),""),"")&amp;IF(COUNTIFS('Agenda 2026'!$Q$2:$Q$376,DATE(2026,2,1),'Agenda 2026'!$M$2:$M$376,1)&gt;=11,CHAR(10)&amp;IFERROR(INDEX('Agenda 2026'!$B$2:$B$376,MATCH(DATE(2026,2,1)*10+11,'Agenda 2026'!$S$2:$S$376,0)),""),"")&amp;IF(COUNTIFS('Agenda 2026'!$Q$2:$Q$376,DATE(2026,2,1),'Agenda 2026'!$M$2:$M$376,1)&gt;=12,CHAR(10)&amp;IFERROR(INDEX('Agenda 2026'!$B$2:$B$376,MATCH(DATE(2026,2,1)*10+12,'Agenda 2026'!$S$2:$S$376,0)),""),"")</f>
        <v>1</v>
      </c>
    </row>
    <row r="20" spans="1:8" ht="45.75" customHeight="1" x14ac:dyDescent="0.35">
      <c r="A20" s="17"/>
      <c r="B20" s="58" t="str">
        <f t="array" ref="B20">2&amp;IF(COUNTIFS('Agenda 2026'!$Q$2:$Q$376,DATE(2026,2,2),'Agenda 2026'!$M$2:$M$376,1)&gt;=1,CHAR(10)&amp;IFERROR(INDEX('Agenda 2026'!$B$2:$B$376,MATCH(DATE(2026,2,2)*10+1,'Agenda 2026'!$S$2:$S$376,0)),""),"")&amp;IF(COUNTIFS('Agenda 2026'!$Q$2:$Q$376,DATE(2026,2,2),'Agenda 2026'!$M$2:$M$376,1)&gt;=2,CHAR(10)&amp;IFERROR(INDEX('Agenda 2026'!$B$2:$B$376,MATCH(DATE(2026,2,2)*10+2,'Agenda 2026'!$S$2:$S$376,0)),""),"")&amp;IF(COUNTIFS('Agenda 2026'!$Q$2:$Q$376,DATE(2026,2,2),'Agenda 2026'!$M$2:$M$376,1)&gt;=3,CHAR(10)&amp;IFERROR(INDEX('Agenda 2026'!$B$2:$B$376,MATCH(DATE(2026,2,2)*10+3,'Agenda 2026'!$S$2:$S$376,0)),""),"")&amp;IF(COUNTIFS('Agenda 2026'!$Q$2:$Q$376,DATE(2026,2,2),'Agenda 2026'!$M$2:$M$376,1)&gt;=4,CHAR(10)&amp;IFERROR(INDEX('Agenda 2026'!$B$2:$B$376,MATCH(DATE(2026,2,2)*10+4,'Agenda 2026'!$S$2:$S$376,0)),""),"")&amp;IF(COUNTIFS('Agenda 2026'!$Q$2:$Q$376,DATE(2026,2,2),'Agenda 2026'!$M$2:$M$376,1)&gt;=5,CHAR(10)&amp;IFERROR(INDEX('Agenda 2026'!$B$2:$B$376,MATCH(DATE(2026,2,2)*10+5,'Agenda 2026'!$S$2:$S$376,0)),""),"")&amp;IF(COUNTIFS('Agenda 2026'!$Q$2:$Q$376,DATE(2026,2,2),'Agenda 2026'!$M$2:$M$376,1)&gt;=6,CHAR(10)&amp;IFERROR(INDEX('Agenda 2026'!$B$2:$B$376,MATCH(DATE(2026,2,2)*10+6,'Agenda 2026'!$S$2:$S$376,0)),""),"")&amp;IF(COUNTIFS('Agenda 2026'!$Q$2:$Q$376,DATE(2026,2,2),'Agenda 2026'!$M$2:$M$376,1)&gt;=7,CHAR(10)&amp;IFERROR(INDEX('Agenda 2026'!$B$2:$B$376,MATCH(DATE(2026,2,2)*10+7,'Agenda 2026'!$S$2:$S$376,0)),""),"")&amp;IF(COUNTIFS('Agenda 2026'!$Q$2:$Q$376,DATE(2026,2,2),'Agenda 2026'!$M$2:$M$376,1)&gt;=8,CHAR(10)&amp;IFERROR(INDEX('Agenda 2026'!$B$2:$B$376,MATCH(DATE(2026,2,2)*10+8,'Agenda 2026'!$S$2:$S$376,0)),""),"")&amp;IF(COUNTIFS('Agenda 2026'!$Q$2:$Q$376,DATE(2026,2,2),'Agenda 2026'!$M$2:$M$376,1)&gt;=9,CHAR(10)&amp;IFERROR(INDEX('Agenda 2026'!$B$2:$B$376,MATCH(DATE(2026,2,2)*10+9,'Agenda 2026'!$S$2:$S$376,0)),""),"")&amp;IF(COUNTIFS('Agenda 2026'!$Q$2:$Q$376,DATE(2026,2,2),'Agenda 2026'!$M$2:$M$376,1)&gt;=10,CHAR(10)&amp;IFERROR(INDEX('Agenda 2026'!$B$2:$B$376,MATCH(DATE(2026,2,2)*10+10,'Agenda 2026'!$S$2:$S$376,0)),""),"")&amp;IF(COUNTIFS('Agenda 2026'!$Q$2:$Q$376,DATE(2026,2,2),'Agenda 2026'!$M$2:$M$376,1)&gt;=11,CHAR(10)&amp;IFERROR(INDEX('Agenda 2026'!$B$2:$B$376,MATCH(DATE(2026,2,2)*10+11,'Agenda 2026'!$S$2:$S$376,0)),""),"")&amp;IF(COUNTIFS('Agenda 2026'!$Q$2:$Q$376,DATE(2026,2,2),'Agenda 2026'!$M$2:$M$376,1)&gt;=12,CHAR(10)&amp;IFERROR(INDEX('Agenda 2026'!$B$2:$B$376,MATCH(DATE(2026,2,2)*10+12,'Agenda 2026'!$S$2:$S$376,0)),""),"")</f>
        <v>2</v>
      </c>
      <c r="C20" s="58" t="str">
        <f t="array" ref="C20">3&amp;IF(COUNTIFS('Agenda 2026'!$Q$2:$Q$376,DATE(2026,2,3),'Agenda 2026'!$M$2:$M$376,1)&gt;=1,CHAR(10)&amp;IFERROR(INDEX('Agenda 2026'!$B$2:$B$376,MATCH(DATE(2026,2,3)*10+1,'Agenda 2026'!$S$2:$S$376,0)),""),"")&amp;IF(COUNTIFS('Agenda 2026'!$Q$2:$Q$376,DATE(2026,2,3),'Agenda 2026'!$M$2:$M$376,1)&gt;=2,CHAR(10)&amp;IFERROR(INDEX('Agenda 2026'!$B$2:$B$376,MATCH(DATE(2026,2,3)*10+2,'Agenda 2026'!$S$2:$S$376,0)),""),"")&amp;IF(COUNTIFS('Agenda 2026'!$Q$2:$Q$376,DATE(2026,2,3),'Agenda 2026'!$M$2:$M$376,1)&gt;=3,CHAR(10)&amp;IFERROR(INDEX('Agenda 2026'!$B$2:$B$376,MATCH(DATE(2026,2,3)*10+3,'Agenda 2026'!$S$2:$S$376,0)),""),"")&amp;IF(COUNTIFS('Agenda 2026'!$Q$2:$Q$376,DATE(2026,2,3),'Agenda 2026'!$M$2:$M$376,1)&gt;=4,CHAR(10)&amp;IFERROR(INDEX('Agenda 2026'!$B$2:$B$376,MATCH(DATE(2026,2,3)*10+4,'Agenda 2026'!$S$2:$S$376,0)),""),"")&amp;IF(COUNTIFS('Agenda 2026'!$Q$2:$Q$376,DATE(2026,2,3),'Agenda 2026'!$M$2:$M$376,1)&gt;=5,CHAR(10)&amp;IFERROR(INDEX('Agenda 2026'!$B$2:$B$376,MATCH(DATE(2026,2,3)*10+5,'Agenda 2026'!$S$2:$S$376,0)),""),"")&amp;IF(COUNTIFS('Agenda 2026'!$Q$2:$Q$376,DATE(2026,2,3),'Agenda 2026'!$M$2:$M$376,1)&gt;=6,CHAR(10)&amp;IFERROR(INDEX('Agenda 2026'!$B$2:$B$376,MATCH(DATE(2026,2,3)*10+6,'Agenda 2026'!$S$2:$S$376,0)),""),"")&amp;IF(COUNTIFS('Agenda 2026'!$Q$2:$Q$376,DATE(2026,2,3),'Agenda 2026'!$M$2:$M$376,1)&gt;=7,CHAR(10)&amp;IFERROR(INDEX('Agenda 2026'!$B$2:$B$376,MATCH(DATE(2026,2,3)*10+7,'Agenda 2026'!$S$2:$S$376,0)),""),"")&amp;IF(COUNTIFS('Agenda 2026'!$Q$2:$Q$376,DATE(2026,2,3),'Agenda 2026'!$M$2:$M$376,1)&gt;=8,CHAR(10)&amp;IFERROR(INDEX('Agenda 2026'!$B$2:$B$376,MATCH(DATE(2026,2,3)*10+8,'Agenda 2026'!$S$2:$S$376,0)),""),"")&amp;IF(COUNTIFS('Agenda 2026'!$Q$2:$Q$376,DATE(2026,2,3),'Agenda 2026'!$M$2:$M$376,1)&gt;=9,CHAR(10)&amp;IFERROR(INDEX('Agenda 2026'!$B$2:$B$376,MATCH(DATE(2026,2,3)*10+9,'Agenda 2026'!$S$2:$S$376,0)),""),"")&amp;IF(COUNTIFS('Agenda 2026'!$Q$2:$Q$376,DATE(2026,2,3),'Agenda 2026'!$M$2:$M$376,1)&gt;=10,CHAR(10)&amp;IFERROR(INDEX('Agenda 2026'!$B$2:$B$376,MATCH(DATE(2026,2,3)*10+10,'Agenda 2026'!$S$2:$S$376,0)),""),"")&amp;IF(COUNTIFS('Agenda 2026'!$Q$2:$Q$376,DATE(2026,2,3),'Agenda 2026'!$M$2:$M$376,1)&gt;=11,CHAR(10)&amp;IFERROR(INDEX('Agenda 2026'!$B$2:$B$376,MATCH(DATE(2026,2,3)*10+11,'Agenda 2026'!$S$2:$S$376,0)),""),"")&amp;IF(COUNTIFS('Agenda 2026'!$Q$2:$Q$376,DATE(2026,2,3),'Agenda 2026'!$M$2:$M$376,1)&gt;=12,CHAR(10)&amp;IFERROR(INDEX('Agenda 2026'!$B$2:$B$376,MATCH(DATE(2026,2,3)*10+12,'Agenda 2026'!$S$2:$S$376,0)),""),"")</f>
        <v>3</v>
      </c>
      <c r="D20" s="58" t="str">
        <f t="array" ref="D20">4&amp;IF(COUNTIFS('Agenda 2026'!$Q$2:$Q$376,DATE(2026,2,4),'Agenda 2026'!$M$2:$M$376,1)&gt;=1,CHAR(10)&amp;IFERROR(INDEX('Agenda 2026'!$B$2:$B$376,MATCH(DATE(2026,2,4)*10+1,'Agenda 2026'!$S$2:$S$376,0)),""),"")&amp;IF(COUNTIFS('Agenda 2026'!$Q$2:$Q$376,DATE(2026,2,4),'Agenda 2026'!$M$2:$M$376,1)&gt;=2,CHAR(10)&amp;IFERROR(INDEX('Agenda 2026'!$B$2:$B$376,MATCH(DATE(2026,2,4)*10+2,'Agenda 2026'!$S$2:$S$376,0)),""),"")&amp;IF(COUNTIFS('Agenda 2026'!$Q$2:$Q$376,DATE(2026,2,4),'Agenda 2026'!$M$2:$M$376,1)&gt;=3,CHAR(10)&amp;IFERROR(INDEX('Agenda 2026'!$B$2:$B$376,MATCH(DATE(2026,2,4)*10+3,'Agenda 2026'!$S$2:$S$376,0)),""),"")&amp;IF(COUNTIFS('Agenda 2026'!$Q$2:$Q$376,DATE(2026,2,4),'Agenda 2026'!$M$2:$M$376,1)&gt;=4,CHAR(10)&amp;IFERROR(INDEX('Agenda 2026'!$B$2:$B$376,MATCH(DATE(2026,2,4)*10+4,'Agenda 2026'!$S$2:$S$376,0)),""),"")&amp;IF(COUNTIFS('Agenda 2026'!$Q$2:$Q$376,DATE(2026,2,4),'Agenda 2026'!$M$2:$M$376,1)&gt;=5,CHAR(10)&amp;IFERROR(INDEX('Agenda 2026'!$B$2:$B$376,MATCH(DATE(2026,2,4)*10+5,'Agenda 2026'!$S$2:$S$376,0)),""),"")&amp;IF(COUNTIFS('Agenda 2026'!$Q$2:$Q$376,DATE(2026,2,4),'Agenda 2026'!$M$2:$M$376,1)&gt;=6,CHAR(10)&amp;IFERROR(INDEX('Agenda 2026'!$B$2:$B$376,MATCH(DATE(2026,2,4)*10+6,'Agenda 2026'!$S$2:$S$376,0)),""),"")&amp;IF(COUNTIFS('Agenda 2026'!$Q$2:$Q$376,DATE(2026,2,4),'Agenda 2026'!$M$2:$M$376,1)&gt;=7,CHAR(10)&amp;IFERROR(INDEX('Agenda 2026'!$B$2:$B$376,MATCH(DATE(2026,2,4)*10+7,'Agenda 2026'!$S$2:$S$376,0)),""),"")&amp;IF(COUNTIFS('Agenda 2026'!$Q$2:$Q$376,DATE(2026,2,4),'Agenda 2026'!$M$2:$M$376,1)&gt;=8,CHAR(10)&amp;IFERROR(INDEX('Agenda 2026'!$B$2:$B$376,MATCH(DATE(2026,2,4)*10+8,'Agenda 2026'!$S$2:$S$376,0)),""),"")&amp;IF(COUNTIFS('Agenda 2026'!$Q$2:$Q$376,DATE(2026,2,4),'Agenda 2026'!$M$2:$M$376,1)&gt;=9,CHAR(10)&amp;IFERROR(INDEX('Agenda 2026'!$B$2:$B$376,MATCH(DATE(2026,2,4)*10+9,'Agenda 2026'!$S$2:$S$376,0)),""),"")&amp;IF(COUNTIFS('Agenda 2026'!$Q$2:$Q$376,DATE(2026,2,4),'Agenda 2026'!$M$2:$M$376,1)&gt;=10,CHAR(10)&amp;IFERROR(INDEX('Agenda 2026'!$B$2:$B$376,MATCH(DATE(2026,2,4)*10+10,'Agenda 2026'!$S$2:$S$376,0)),""),"")&amp;IF(COUNTIFS('Agenda 2026'!$Q$2:$Q$376,DATE(2026,2,4),'Agenda 2026'!$M$2:$M$376,1)&gt;=11,CHAR(10)&amp;IFERROR(INDEX('Agenda 2026'!$B$2:$B$376,MATCH(DATE(2026,2,4)*10+11,'Agenda 2026'!$S$2:$S$376,0)),""),"")&amp;IF(COUNTIFS('Agenda 2026'!$Q$2:$Q$376,DATE(2026,2,4),'Agenda 2026'!$M$2:$M$376,1)&gt;=12,CHAR(10)&amp;IFERROR(INDEX('Agenda 2026'!$B$2:$B$376,MATCH(DATE(2026,2,4)*10+12,'Agenda 2026'!$S$2:$S$376,0)),""),"")</f>
        <v>4</v>
      </c>
      <c r="E20" s="58" t="str">
        <f t="array" ref="E20">5&amp;IF(COUNTIFS('Agenda 2026'!$Q$2:$Q$376,DATE(2026,2,5),'Agenda 2026'!$M$2:$M$376,1)&gt;=1,CHAR(10)&amp;IFERROR(INDEX('Agenda 2026'!$B$2:$B$376,MATCH(DATE(2026,2,5)*10+1,'Agenda 2026'!$S$2:$S$376,0)),""),"")&amp;IF(COUNTIFS('Agenda 2026'!$Q$2:$Q$376,DATE(2026,2,5),'Agenda 2026'!$M$2:$M$376,1)&gt;=2,CHAR(10)&amp;IFERROR(INDEX('Agenda 2026'!$B$2:$B$376,MATCH(DATE(2026,2,5)*10+2,'Agenda 2026'!$S$2:$S$376,0)),""),"")&amp;IF(COUNTIFS('Agenda 2026'!$Q$2:$Q$376,DATE(2026,2,5),'Agenda 2026'!$M$2:$M$376,1)&gt;=3,CHAR(10)&amp;IFERROR(INDEX('Agenda 2026'!$B$2:$B$376,MATCH(DATE(2026,2,5)*10+3,'Agenda 2026'!$S$2:$S$376,0)),""),"")&amp;IF(COUNTIFS('Agenda 2026'!$Q$2:$Q$376,DATE(2026,2,5),'Agenda 2026'!$M$2:$M$376,1)&gt;=4,CHAR(10)&amp;IFERROR(INDEX('Agenda 2026'!$B$2:$B$376,MATCH(DATE(2026,2,5)*10+4,'Agenda 2026'!$S$2:$S$376,0)),""),"")&amp;IF(COUNTIFS('Agenda 2026'!$Q$2:$Q$376,DATE(2026,2,5),'Agenda 2026'!$M$2:$M$376,1)&gt;=5,CHAR(10)&amp;IFERROR(INDEX('Agenda 2026'!$B$2:$B$376,MATCH(DATE(2026,2,5)*10+5,'Agenda 2026'!$S$2:$S$376,0)),""),"")&amp;IF(COUNTIFS('Agenda 2026'!$Q$2:$Q$376,DATE(2026,2,5),'Agenda 2026'!$M$2:$M$376,1)&gt;=6,CHAR(10)&amp;IFERROR(INDEX('Agenda 2026'!$B$2:$B$376,MATCH(DATE(2026,2,5)*10+6,'Agenda 2026'!$S$2:$S$376,0)),""),"")&amp;IF(COUNTIFS('Agenda 2026'!$Q$2:$Q$376,DATE(2026,2,5),'Agenda 2026'!$M$2:$M$376,1)&gt;=7,CHAR(10)&amp;IFERROR(INDEX('Agenda 2026'!$B$2:$B$376,MATCH(DATE(2026,2,5)*10+7,'Agenda 2026'!$S$2:$S$376,0)),""),"")&amp;IF(COUNTIFS('Agenda 2026'!$Q$2:$Q$376,DATE(2026,2,5),'Agenda 2026'!$M$2:$M$376,1)&gt;=8,CHAR(10)&amp;IFERROR(INDEX('Agenda 2026'!$B$2:$B$376,MATCH(DATE(2026,2,5)*10+8,'Agenda 2026'!$S$2:$S$376,0)),""),"")&amp;IF(COUNTIFS('Agenda 2026'!$Q$2:$Q$376,DATE(2026,2,5),'Agenda 2026'!$M$2:$M$376,1)&gt;=9,CHAR(10)&amp;IFERROR(INDEX('Agenda 2026'!$B$2:$B$376,MATCH(DATE(2026,2,5)*10+9,'Agenda 2026'!$S$2:$S$376,0)),""),"")&amp;IF(COUNTIFS('Agenda 2026'!$Q$2:$Q$376,DATE(2026,2,5),'Agenda 2026'!$M$2:$M$376,1)&gt;=10,CHAR(10)&amp;IFERROR(INDEX('Agenda 2026'!$B$2:$B$376,MATCH(DATE(2026,2,5)*10+10,'Agenda 2026'!$S$2:$S$376,0)),""),"")&amp;IF(COUNTIFS('Agenda 2026'!$Q$2:$Q$376,DATE(2026,2,5),'Agenda 2026'!$M$2:$M$376,1)&gt;=11,CHAR(10)&amp;IFERROR(INDEX('Agenda 2026'!$B$2:$B$376,MATCH(DATE(2026,2,5)*10+11,'Agenda 2026'!$S$2:$S$376,0)),""),"")&amp;IF(COUNTIFS('Agenda 2026'!$Q$2:$Q$376,DATE(2026,2,5),'Agenda 2026'!$M$2:$M$376,1)&gt;=12,CHAR(10)&amp;IFERROR(INDEX('Agenda 2026'!$B$2:$B$376,MATCH(DATE(2026,2,5)*10+12,'Agenda 2026'!$S$2:$S$376,0)),""),"")</f>
        <v>5</v>
      </c>
      <c r="F20" s="58" t="str">
        <f t="array" ref="F20">6&amp;IF(COUNTIFS('Agenda 2026'!$Q$2:$Q$376,DATE(2026,2,6),'Agenda 2026'!$M$2:$M$376,1)&gt;=1,CHAR(10)&amp;IFERROR(INDEX('Agenda 2026'!$B$2:$B$376,MATCH(DATE(2026,2,6)*10+1,'Agenda 2026'!$S$2:$S$376,0)),""),"")&amp;IF(COUNTIFS('Agenda 2026'!$Q$2:$Q$376,DATE(2026,2,6),'Agenda 2026'!$M$2:$M$376,1)&gt;=2,CHAR(10)&amp;IFERROR(INDEX('Agenda 2026'!$B$2:$B$376,MATCH(DATE(2026,2,6)*10+2,'Agenda 2026'!$S$2:$S$376,0)),""),"")&amp;IF(COUNTIFS('Agenda 2026'!$Q$2:$Q$376,DATE(2026,2,6),'Agenda 2026'!$M$2:$M$376,1)&gt;=3,CHAR(10)&amp;IFERROR(INDEX('Agenda 2026'!$B$2:$B$376,MATCH(DATE(2026,2,6)*10+3,'Agenda 2026'!$S$2:$S$376,0)),""),"")&amp;IF(COUNTIFS('Agenda 2026'!$Q$2:$Q$376,DATE(2026,2,6),'Agenda 2026'!$M$2:$M$376,1)&gt;=4,CHAR(10)&amp;IFERROR(INDEX('Agenda 2026'!$B$2:$B$376,MATCH(DATE(2026,2,6)*10+4,'Agenda 2026'!$S$2:$S$376,0)),""),"")&amp;IF(COUNTIFS('Agenda 2026'!$Q$2:$Q$376,DATE(2026,2,6),'Agenda 2026'!$M$2:$M$376,1)&gt;=5,CHAR(10)&amp;IFERROR(INDEX('Agenda 2026'!$B$2:$B$376,MATCH(DATE(2026,2,6)*10+5,'Agenda 2026'!$S$2:$S$376,0)),""),"")&amp;IF(COUNTIFS('Agenda 2026'!$Q$2:$Q$376,DATE(2026,2,6),'Agenda 2026'!$M$2:$M$376,1)&gt;=6,CHAR(10)&amp;IFERROR(INDEX('Agenda 2026'!$B$2:$B$376,MATCH(DATE(2026,2,6)*10+6,'Agenda 2026'!$S$2:$S$376,0)),""),"")&amp;IF(COUNTIFS('Agenda 2026'!$Q$2:$Q$376,DATE(2026,2,6),'Agenda 2026'!$M$2:$M$376,1)&gt;=7,CHAR(10)&amp;IFERROR(INDEX('Agenda 2026'!$B$2:$B$376,MATCH(DATE(2026,2,6)*10+7,'Agenda 2026'!$S$2:$S$376,0)),""),"")&amp;IF(COUNTIFS('Agenda 2026'!$Q$2:$Q$376,DATE(2026,2,6),'Agenda 2026'!$M$2:$M$376,1)&gt;=8,CHAR(10)&amp;IFERROR(INDEX('Agenda 2026'!$B$2:$B$376,MATCH(DATE(2026,2,6)*10+8,'Agenda 2026'!$S$2:$S$376,0)),""),"")&amp;IF(COUNTIFS('Agenda 2026'!$Q$2:$Q$376,DATE(2026,2,6),'Agenda 2026'!$M$2:$M$376,1)&gt;=9,CHAR(10)&amp;IFERROR(INDEX('Agenda 2026'!$B$2:$B$376,MATCH(DATE(2026,2,6)*10+9,'Agenda 2026'!$S$2:$S$376,0)),""),"")&amp;IF(COUNTIFS('Agenda 2026'!$Q$2:$Q$376,DATE(2026,2,6),'Agenda 2026'!$M$2:$M$376,1)&gt;=10,CHAR(10)&amp;IFERROR(INDEX('Agenda 2026'!$B$2:$B$376,MATCH(DATE(2026,2,6)*10+10,'Agenda 2026'!$S$2:$S$376,0)),""),"")&amp;IF(COUNTIFS('Agenda 2026'!$Q$2:$Q$376,DATE(2026,2,6),'Agenda 2026'!$M$2:$M$376,1)&gt;=11,CHAR(10)&amp;IFERROR(INDEX('Agenda 2026'!$B$2:$B$376,MATCH(DATE(2026,2,6)*10+11,'Agenda 2026'!$S$2:$S$376,0)),""),"")&amp;IF(COUNTIFS('Agenda 2026'!$Q$2:$Q$376,DATE(2026,2,6),'Agenda 2026'!$M$2:$M$376,1)&gt;=12,CHAR(10)&amp;IFERROR(INDEX('Agenda 2026'!$B$2:$B$376,MATCH(DATE(2026,2,6)*10+12,'Agenda 2026'!$S$2:$S$376,0)),""),"")</f>
        <v>6</v>
      </c>
      <c r="G20" s="58" t="str">
        <f t="array" ref="G20">7&amp;IF(COUNTIFS('Agenda 2026'!$Q$2:$Q$376,DATE(2026,2,7),'Agenda 2026'!$M$2:$M$376,1)&gt;=1,CHAR(10)&amp;IFERROR(INDEX('Agenda 2026'!$B$2:$B$376,MATCH(DATE(2026,2,7)*10+1,'Agenda 2026'!$S$2:$S$376,0)),""),"")&amp;IF(COUNTIFS('Agenda 2026'!$Q$2:$Q$376,DATE(2026,2,7),'Agenda 2026'!$M$2:$M$376,1)&gt;=2,CHAR(10)&amp;IFERROR(INDEX('Agenda 2026'!$B$2:$B$376,MATCH(DATE(2026,2,7)*10+2,'Agenda 2026'!$S$2:$S$376,0)),""),"")&amp;IF(COUNTIFS('Agenda 2026'!$Q$2:$Q$376,DATE(2026,2,7),'Agenda 2026'!$M$2:$M$376,1)&gt;=3,CHAR(10)&amp;IFERROR(INDEX('Agenda 2026'!$B$2:$B$376,MATCH(DATE(2026,2,7)*10+3,'Agenda 2026'!$S$2:$S$376,0)),""),"")&amp;IF(COUNTIFS('Agenda 2026'!$Q$2:$Q$376,DATE(2026,2,7),'Agenda 2026'!$M$2:$M$376,1)&gt;=4,CHAR(10)&amp;IFERROR(INDEX('Agenda 2026'!$B$2:$B$376,MATCH(DATE(2026,2,7)*10+4,'Agenda 2026'!$S$2:$S$376,0)),""),"")&amp;IF(COUNTIFS('Agenda 2026'!$Q$2:$Q$376,DATE(2026,2,7),'Agenda 2026'!$M$2:$M$376,1)&gt;=5,CHAR(10)&amp;IFERROR(INDEX('Agenda 2026'!$B$2:$B$376,MATCH(DATE(2026,2,7)*10+5,'Agenda 2026'!$S$2:$S$376,0)),""),"")&amp;IF(COUNTIFS('Agenda 2026'!$Q$2:$Q$376,DATE(2026,2,7),'Agenda 2026'!$M$2:$M$376,1)&gt;=6,CHAR(10)&amp;IFERROR(INDEX('Agenda 2026'!$B$2:$B$376,MATCH(DATE(2026,2,7)*10+6,'Agenda 2026'!$S$2:$S$376,0)),""),"")&amp;IF(COUNTIFS('Agenda 2026'!$Q$2:$Q$376,DATE(2026,2,7),'Agenda 2026'!$M$2:$M$376,1)&gt;=7,CHAR(10)&amp;IFERROR(INDEX('Agenda 2026'!$B$2:$B$376,MATCH(DATE(2026,2,7)*10+7,'Agenda 2026'!$S$2:$S$376,0)),""),"")&amp;IF(COUNTIFS('Agenda 2026'!$Q$2:$Q$376,DATE(2026,2,7),'Agenda 2026'!$M$2:$M$376,1)&gt;=8,CHAR(10)&amp;IFERROR(INDEX('Agenda 2026'!$B$2:$B$376,MATCH(DATE(2026,2,7)*10+8,'Agenda 2026'!$S$2:$S$376,0)),""),"")&amp;IF(COUNTIFS('Agenda 2026'!$Q$2:$Q$376,DATE(2026,2,7),'Agenda 2026'!$M$2:$M$376,1)&gt;=9,CHAR(10)&amp;IFERROR(INDEX('Agenda 2026'!$B$2:$B$376,MATCH(DATE(2026,2,7)*10+9,'Agenda 2026'!$S$2:$S$376,0)),""),"")&amp;IF(COUNTIFS('Agenda 2026'!$Q$2:$Q$376,DATE(2026,2,7),'Agenda 2026'!$M$2:$M$376,1)&gt;=10,CHAR(10)&amp;IFERROR(INDEX('Agenda 2026'!$B$2:$B$376,MATCH(DATE(2026,2,7)*10+10,'Agenda 2026'!$S$2:$S$376,0)),""),"")&amp;IF(COUNTIFS('Agenda 2026'!$Q$2:$Q$376,DATE(2026,2,7),'Agenda 2026'!$M$2:$M$376,1)&gt;=11,CHAR(10)&amp;IFERROR(INDEX('Agenda 2026'!$B$2:$B$376,MATCH(DATE(2026,2,7)*10+11,'Agenda 2026'!$S$2:$S$376,0)),""),"")&amp;IF(COUNTIFS('Agenda 2026'!$Q$2:$Q$376,DATE(2026,2,7),'Agenda 2026'!$M$2:$M$376,1)&gt;=12,CHAR(10)&amp;IFERROR(INDEX('Agenda 2026'!$B$2:$B$376,MATCH(DATE(2026,2,7)*10+12,'Agenda 2026'!$S$2:$S$376,0)),""),"")</f>
        <v>7</v>
      </c>
      <c r="H20" s="58" t="str">
        <f t="array" ref="H20">8&amp;IF(COUNTIFS('Agenda 2026'!$Q$2:$Q$376,DATE(2026,2,8),'Agenda 2026'!$M$2:$M$376,1)&gt;=1,CHAR(10)&amp;IFERROR(INDEX('Agenda 2026'!$B$2:$B$376,MATCH(DATE(2026,2,8)*10+1,'Agenda 2026'!$S$2:$S$376,0)),""),"")&amp;IF(COUNTIFS('Agenda 2026'!$Q$2:$Q$376,DATE(2026,2,8),'Agenda 2026'!$M$2:$M$376,1)&gt;=2,CHAR(10)&amp;IFERROR(INDEX('Agenda 2026'!$B$2:$B$376,MATCH(DATE(2026,2,8)*10+2,'Agenda 2026'!$S$2:$S$376,0)),""),"")&amp;IF(COUNTIFS('Agenda 2026'!$Q$2:$Q$376,DATE(2026,2,8),'Agenda 2026'!$M$2:$M$376,1)&gt;=3,CHAR(10)&amp;IFERROR(INDEX('Agenda 2026'!$B$2:$B$376,MATCH(DATE(2026,2,8)*10+3,'Agenda 2026'!$S$2:$S$376,0)),""),"")&amp;IF(COUNTIFS('Agenda 2026'!$Q$2:$Q$376,DATE(2026,2,8),'Agenda 2026'!$M$2:$M$376,1)&gt;=4,CHAR(10)&amp;IFERROR(INDEX('Agenda 2026'!$B$2:$B$376,MATCH(DATE(2026,2,8)*10+4,'Agenda 2026'!$S$2:$S$376,0)),""),"")&amp;IF(COUNTIFS('Agenda 2026'!$Q$2:$Q$376,DATE(2026,2,8),'Agenda 2026'!$M$2:$M$376,1)&gt;=5,CHAR(10)&amp;IFERROR(INDEX('Agenda 2026'!$B$2:$B$376,MATCH(DATE(2026,2,8)*10+5,'Agenda 2026'!$S$2:$S$376,0)),""),"")&amp;IF(COUNTIFS('Agenda 2026'!$Q$2:$Q$376,DATE(2026,2,8),'Agenda 2026'!$M$2:$M$376,1)&gt;=6,CHAR(10)&amp;IFERROR(INDEX('Agenda 2026'!$B$2:$B$376,MATCH(DATE(2026,2,8)*10+6,'Agenda 2026'!$S$2:$S$376,0)),""),"")&amp;IF(COUNTIFS('Agenda 2026'!$Q$2:$Q$376,DATE(2026,2,8),'Agenda 2026'!$M$2:$M$376,1)&gt;=7,CHAR(10)&amp;IFERROR(INDEX('Agenda 2026'!$B$2:$B$376,MATCH(DATE(2026,2,8)*10+7,'Agenda 2026'!$S$2:$S$376,0)),""),"")&amp;IF(COUNTIFS('Agenda 2026'!$Q$2:$Q$376,DATE(2026,2,8),'Agenda 2026'!$M$2:$M$376,1)&gt;=8,CHAR(10)&amp;IFERROR(INDEX('Agenda 2026'!$B$2:$B$376,MATCH(DATE(2026,2,8)*10+8,'Agenda 2026'!$S$2:$S$376,0)),""),"")&amp;IF(COUNTIFS('Agenda 2026'!$Q$2:$Q$376,DATE(2026,2,8),'Agenda 2026'!$M$2:$M$376,1)&gt;=9,CHAR(10)&amp;IFERROR(INDEX('Agenda 2026'!$B$2:$B$376,MATCH(DATE(2026,2,8)*10+9,'Agenda 2026'!$S$2:$S$376,0)),""),"")&amp;IF(COUNTIFS('Agenda 2026'!$Q$2:$Q$376,DATE(2026,2,8),'Agenda 2026'!$M$2:$M$376,1)&gt;=10,CHAR(10)&amp;IFERROR(INDEX('Agenda 2026'!$B$2:$B$376,MATCH(DATE(2026,2,8)*10+10,'Agenda 2026'!$S$2:$S$376,0)),""),"")&amp;IF(COUNTIFS('Agenda 2026'!$Q$2:$Q$376,DATE(2026,2,8),'Agenda 2026'!$M$2:$M$376,1)&gt;=11,CHAR(10)&amp;IFERROR(INDEX('Agenda 2026'!$B$2:$B$376,MATCH(DATE(2026,2,8)*10+11,'Agenda 2026'!$S$2:$S$376,0)),""),"")&amp;IF(COUNTIFS('Agenda 2026'!$Q$2:$Q$376,DATE(2026,2,8),'Agenda 2026'!$M$2:$M$376,1)&gt;=12,CHAR(10)&amp;IFERROR(INDEX('Agenda 2026'!$B$2:$B$376,MATCH(DATE(2026,2,8)*10+12,'Agenda 2026'!$S$2:$S$376,0)),""),"")</f>
        <v>8</v>
      </c>
    </row>
    <row r="21" spans="1:8" ht="57.75" customHeight="1" x14ac:dyDescent="0.35">
      <c r="A21" s="17"/>
      <c r="B21" s="58" t="str">
        <f t="array" ref="B21">9&amp;IF(COUNTIFS('Agenda 2026'!$Q$2:$Q$376,DATE(2026,2,9),'Agenda 2026'!$M$2:$M$376,1)&gt;=1,CHAR(10)&amp;IFERROR(INDEX('Agenda 2026'!$B$2:$B$376,MATCH(DATE(2026,2,9)*10+1,'Agenda 2026'!$S$2:$S$376,0)),""),"")&amp;IF(COUNTIFS('Agenda 2026'!$Q$2:$Q$376,DATE(2026,2,9),'Agenda 2026'!$M$2:$M$376,1)&gt;=2,CHAR(10)&amp;IFERROR(INDEX('Agenda 2026'!$B$2:$B$376,MATCH(DATE(2026,2,9)*10+2,'Agenda 2026'!$S$2:$S$376,0)),""),"")&amp;IF(COUNTIFS('Agenda 2026'!$Q$2:$Q$376,DATE(2026,2,9),'Agenda 2026'!$M$2:$M$376,1)&gt;=3,CHAR(10)&amp;IFERROR(INDEX('Agenda 2026'!$B$2:$B$376,MATCH(DATE(2026,2,9)*10+3,'Agenda 2026'!$S$2:$S$376,0)),""),"")&amp;IF(COUNTIFS('Agenda 2026'!$Q$2:$Q$376,DATE(2026,2,9),'Agenda 2026'!$M$2:$M$376,1)&gt;=4,CHAR(10)&amp;IFERROR(INDEX('Agenda 2026'!$B$2:$B$376,MATCH(DATE(2026,2,9)*10+4,'Agenda 2026'!$S$2:$S$376,0)),""),"")&amp;IF(COUNTIFS('Agenda 2026'!$Q$2:$Q$376,DATE(2026,2,9),'Agenda 2026'!$M$2:$M$376,1)&gt;=5,CHAR(10)&amp;IFERROR(INDEX('Agenda 2026'!$B$2:$B$376,MATCH(DATE(2026,2,9)*10+5,'Agenda 2026'!$S$2:$S$376,0)),""),"")&amp;IF(COUNTIFS('Agenda 2026'!$Q$2:$Q$376,DATE(2026,2,9),'Agenda 2026'!$M$2:$M$376,1)&gt;=6,CHAR(10)&amp;IFERROR(INDEX('Agenda 2026'!$B$2:$B$376,MATCH(DATE(2026,2,9)*10+6,'Agenda 2026'!$S$2:$S$376,0)),""),"")&amp;IF(COUNTIFS('Agenda 2026'!$Q$2:$Q$376,DATE(2026,2,9),'Agenda 2026'!$M$2:$M$376,1)&gt;=7,CHAR(10)&amp;IFERROR(INDEX('Agenda 2026'!$B$2:$B$376,MATCH(DATE(2026,2,9)*10+7,'Agenda 2026'!$S$2:$S$376,0)),""),"")&amp;IF(COUNTIFS('Agenda 2026'!$Q$2:$Q$376,DATE(2026,2,9),'Agenda 2026'!$M$2:$M$376,1)&gt;=8,CHAR(10)&amp;IFERROR(INDEX('Agenda 2026'!$B$2:$B$376,MATCH(DATE(2026,2,9)*10+8,'Agenda 2026'!$S$2:$S$376,0)),""),"")&amp;IF(COUNTIFS('Agenda 2026'!$Q$2:$Q$376,DATE(2026,2,9),'Agenda 2026'!$M$2:$M$376,1)&gt;=9,CHAR(10)&amp;IFERROR(INDEX('Agenda 2026'!$B$2:$B$376,MATCH(DATE(2026,2,9)*10+9,'Agenda 2026'!$S$2:$S$376,0)),""),"")&amp;IF(COUNTIFS('Agenda 2026'!$Q$2:$Q$376,DATE(2026,2,9),'Agenda 2026'!$M$2:$M$376,1)&gt;=10,CHAR(10)&amp;IFERROR(INDEX('Agenda 2026'!$B$2:$B$376,MATCH(DATE(2026,2,9)*10+10,'Agenda 2026'!$S$2:$S$376,0)),""),"")&amp;IF(COUNTIFS('Agenda 2026'!$Q$2:$Q$376,DATE(2026,2,9),'Agenda 2026'!$M$2:$M$376,1)&gt;=11,CHAR(10)&amp;IFERROR(INDEX('Agenda 2026'!$B$2:$B$376,MATCH(DATE(2026,2,9)*10+11,'Agenda 2026'!$S$2:$S$376,0)),""),"")&amp;IF(COUNTIFS('Agenda 2026'!$Q$2:$Q$376,DATE(2026,2,9),'Agenda 2026'!$M$2:$M$376,1)&gt;=12,CHAR(10)&amp;IFERROR(INDEX('Agenda 2026'!$B$2:$B$376,MATCH(DATE(2026,2,9)*10+12,'Agenda 2026'!$S$2:$S$376,0)),""),"")</f>
        <v>9</v>
      </c>
      <c r="C21" s="58" t="str">
        <f t="array" ref="C21">10&amp;IF(COUNTIFS('Agenda 2026'!$Q$2:$Q$376,DATE(2026,2,10),'Agenda 2026'!$M$2:$M$376,1)&gt;=1,CHAR(10)&amp;IFERROR(INDEX('Agenda 2026'!$B$2:$B$376,MATCH(DATE(2026,2,10)*10+1,'Agenda 2026'!$S$2:$S$376,0)),""),"")&amp;IF(COUNTIFS('Agenda 2026'!$Q$2:$Q$376,DATE(2026,2,10),'Agenda 2026'!$M$2:$M$376,1)&gt;=2,CHAR(10)&amp;IFERROR(INDEX('Agenda 2026'!$B$2:$B$376,MATCH(DATE(2026,2,10)*10+2,'Agenda 2026'!$S$2:$S$376,0)),""),"")&amp;IF(COUNTIFS('Agenda 2026'!$Q$2:$Q$376,DATE(2026,2,10),'Agenda 2026'!$M$2:$M$376,1)&gt;=3,CHAR(10)&amp;IFERROR(INDEX('Agenda 2026'!$B$2:$B$376,MATCH(DATE(2026,2,10)*10+3,'Agenda 2026'!$S$2:$S$376,0)),""),"")&amp;IF(COUNTIFS('Agenda 2026'!$Q$2:$Q$376,DATE(2026,2,10),'Agenda 2026'!$M$2:$M$376,1)&gt;=4,CHAR(10)&amp;IFERROR(INDEX('Agenda 2026'!$B$2:$B$376,MATCH(DATE(2026,2,10)*10+4,'Agenda 2026'!$S$2:$S$376,0)),""),"")&amp;IF(COUNTIFS('Agenda 2026'!$Q$2:$Q$376,DATE(2026,2,10),'Agenda 2026'!$M$2:$M$376,1)&gt;=5,CHAR(10)&amp;IFERROR(INDEX('Agenda 2026'!$B$2:$B$376,MATCH(DATE(2026,2,10)*10+5,'Agenda 2026'!$S$2:$S$376,0)),""),"")&amp;IF(COUNTIFS('Agenda 2026'!$Q$2:$Q$376,DATE(2026,2,10),'Agenda 2026'!$M$2:$M$376,1)&gt;=6,CHAR(10)&amp;IFERROR(INDEX('Agenda 2026'!$B$2:$B$376,MATCH(DATE(2026,2,10)*10+6,'Agenda 2026'!$S$2:$S$376,0)),""),"")&amp;IF(COUNTIFS('Agenda 2026'!$Q$2:$Q$376,DATE(2026,2,10),'Agenda 2026'!$M$2:$M$376,1)&gt;=7,CHAR(10)&amp;IFERROR(INDEX('Agenda 2026'!$B$2:$B$376,MATCH(DATE(2026,2,10)*10+7,'Agenda 2026'!$S$2:$S$376,0)),""),"")&amp;IF(COUNTIFS('Agenda 2026'!$Q$2:$Q$376,DATE(2026,2,10),'Agenda 2026'!$M$2:$M$376,1)&gt;=8,CHAR(10)&amp;IFERROR(INDEX('Agenda 2026'!$B$2:$B$376,MATCH(DATE(2026,2,10)*10+8,'Agenda 2026'!$S$2:$S$376,0)),""),"")&amp;IF(COUNTIFS('Agenda 2026'!$Q$2:$Q$376,DATE(2026,2,10),'Agenda 2026'!$M$2:$M$376,1)&gt;=9,CHAR(10)&amp;IFERROR(INDEX('Agenda 2026'!$B$2:$B$376,MATCH(DATE(2026,2,10)*10+9,'Agenda 2026'!$S$2:$S$376,0)),""),"")&amp;IF(COUNTIFS('Agenda 2026'!$Q$2:$Q$376,DATE(2026,2,10),'Agenda 2026'!$M$2:$M$376,1)&gt;=10,CHAR(10)&amp;IFERROR(INDEX('Agenda 2026'!$B$2:$B$376,MATCH(DATE(2026,2,10)*10+10,'Agenda 2026'!$S$2:$S$376,0)),""),"")&amp;IF(COUNTIFS('Agenda 2026'!$Q$2:$Q$376,DATE(2026,2,10),'Agenda 2026'!$M$2:$M$376,1)&gt;=11,CHAR(10)&amp;IFERROR(INDEX('Agenda 2026'!$B$2:$B$376,MATCH(DATE(2026,2,10)*10+11,'Agenda 2026'!$S$2:$S$376,0)),""),"")&amp;IF(COUNTIFS('Agenda 2026'!$Q$2:$Q$376,DATE(2026,2,10),'Agenda 2026'!$M$2:$M$376,1)&gt;=12,CHAR(10)&amp;IFERROR(INDEX('Agenda 2026'!$B$2:$B$376,MATCH(DATE(2026,2,10)*10+12,'Agenda 2026'!$S$2:$S$376,0)),""),"")</f>
        <v>10</v>
      </c>
      <c r="D21" s="58" t="str">
        <f t="array" ref="D21">11&amp;IF(COUNTIFS('Agenda 2026'!$Q$2:$Q$376,DATE(2026,2,11),'Agenda 2026'!$M$2:$M$376,1)&gt;=1,CHAR(10)&amp;IFERROR(INDEX('Agenda 2026'!$B$2:$B$376,MATCH(DATE(2026,2,11)*10+1,'Agenda 2026'!$S$2:$S$376,0)),""),"")&amp;IF(COUNTIFS('Agenda 2026'!$Q$2:$Q$376,DATE(2026,2,11),'Agenda 2026'!$M$2:$M$376,1)&gt;=2,CHAR(10)&amp;IFERROR(INDEX('Agenda 2026'!$B$2:$B$376,MATCH(DATE(2026,2,11)*10+2,'Agenda 2026'!$S$2:$S$376,0)),""),"")&amp;IF(COUNTIFS('Agenda 2026'!$Q$2:$Q$376,DATE(2026,2,11),'Agenda 2026'!$M$2:$M$376,1)&gt;=3,CHAR(10)&amp;IFERROR(INDEX('Agenda 2026'!$B$2:$B$376,MATCH(DATE(2026,2,11)*10+3,'Agenda 2026'!$S$2:$S$376,0)),""),"")&amp;IF(COUNTIFS('Agenda 2026'!$Q$2:$Q$376,DATE(2026,2,11),'Agenda 2026'!$M$2:$M$376,1)&gt;=4,CHAR(10)&amp;IFERROR(INDEX('Agenda 2026'!$B$2:$B$376,MATCH(DATE(2026,2,11)*10+4,'Agenda 2026'!$S$2:$S$376,0)),""),"")&amp;IF(COUNTIFS('Agenda 2026'!$Q$2:$Q$376,DATE(2026,2,11),'Agenda 2026'!$M$2:$M$376,1)&gt;=5,CHAR(10)&amp;IFERROR(INDEX('Agenda 2026'!$B$2:$B$376,MATCH(DATE(2026,2,11)*10+5,'Agenda 2026'!$S$2:$S$376,0)),""),"")&amp;IF(COUNTIFS('Agenda 2026'!$Q$2:$Q$376,DATE(2026,2,11),'Agenda 2026'!$M$2:$M$376,1)&gt;=6,CHAR(10)&amp;IFERROR(INDEX('Agenda 2026'!$B$2:$B$376,MATCH(DATE(2026,2,11)*10+6,'Agenda 2026'!$S$2:$S$376,0)),""),"")&amp;IF(COUNTIFS('Agenda 2026'!$Q$2:$Q$376,DATE(2026,2,11),'Agenda 2026'!$M$2:$M$376,1)&gt;=7,CHAR(10)&amp;IFERROR(INDEX('Agenda 2026'!$B$2:$B$376,MATCH(DATE(2026,2,11)*10+7,'Agenda 2026'!$S$2:$S$376,0)),""),"")&amp;IF(COUNTIFS('Agenda 2026'!$Q$2:$Q$376,DATE(2026,2,11),'Agenda 2026'!$M$2:$M$376,1)&gt;=8,CHAR(10)&amp;IFERROR(INDEX('Agenda 2026'!$B$2:$B$376,MATCH(DATE(2026,2,11)*10+8,'Agenda 2026'!$S$2:$S$376,0)),""),"")&amp;IF(COUNTIFS('Agenda 2026'!$Q$2:$Q$376,DATE(2026,2,11),'Agenda 2026'!$M$2:$M$376,1)&gt;=9,CHAR(10)&amp;IFERROR(INDEX('Agenda 2026'!$B$2:$B$376,MATCH(DATE(2026,2,11)*10+9,'Agenda 2026'!$S$2:$S$376,0)),""),"")&amp;IF(COUNTIFS('Agenda 2026'!$Q$2:$Q$376,DATE(2026,2,11),'Agenda 2026'!$M$2:$M$376,1)&gt;=10,CHAR(10)&amp;IFERROR(INDEX('Agenda 2026'!$B$2:$B$376,MATCH(DATE(2026,2,11)*10+10,'Agenda 2026'!$S$2:$S$376,0)),""),"")&amp;IF(COUNTIFS('Agenda 2026'!$Q$2:$Q$376,DATE(2026,2,11),'Agenda 2026'!$M$2:$M$376,1)&gt;=11,CHAR(10)&amp;IFERROR(INDEX('Agenda 2026'!$B$2:$B$376,MATCH(DATE(2026,2,11)*10+11,'Agenda 2026'!$S$2:$S$376,0)),""),"")&amp;IF(COUNTIFS('Agenda 2026'!$Q$2:$Q$376,DATE(2026,2,11),'Agenda 2026'!$M$2:$M$376,1)&gt;=12,CHAR(10)&amp;IFERROR(INDEX('Agenda 2026'!$B$2:$B$376,MATCH(DATE(2026,2,11)*10+12,'Agenda 2026'!$S$2:$S$376,0)),""),"")</f>
        <v>11</v>
      </c>
      <c r="E21" s="58" t="str">
        <f t="array" ref="E21">12&amp;IF(COUNTIFS('Agenda 2026'!$Q$2:$Q$376,DATE(2026,2,12),'Agenda 2026'!$M$2:$M$376,1)&gt;=1,CHAR(10)&amp;IFERROR(INDEX('Agenda 2026'!$B$2:$B$376,MATCH(DATE(2026,2,12)*10+1,'Agenda 2026'!$S$2:$S$376,0)),""),"")&amp;IF(COUNTIFS('Agenda 2026'!$Q$2:$Q$376,DATE(2026,2,12),'Agenda 2026'!$M$2:$M$376,1)&gt;=2,CHAR(10)&amp;IFERROR(INDEX('Agenda 2026'!$B$2:$B$376,MATCH(DATE(2026,2,12)*10+2,'Agenda 2026'!$S$2:$S$376,0)),""),"")&amp;IF(COUNTIFS('Agenda 2026'!$Q$2:$Q$376,DATE(2026,2,12),'Agenda 2026'!$M$2:$M$376,1)&gt;=3,CHAR(10)&amp;IFERROR(INDEX('Agenda 2026'!$B$2:$B$376,MATCH(DATE(2026,2,12)*10+3,'Agenda 2026'!$S$2:$S$376,0)),""),"")&amp;IF(COUNTIFS('Agenda 2026'!$Q$2:$Q$376,DATE(2026,2,12),'Agenda 2026'!$M$2:$M$376,1)&gt;=4,CHAR(10)&amp;IFERROR(INDEX('Agenda 2026'!$B$2:$B$376,MATCH(DATE(2026,2,12)*10+4,'Agenda 2026'!$S$2:$S$376,0)),""),"")&amp;IF(COUNTIFS('Agenda 2026'!$Q$2:$Q$376,DATE(2026,2,12),'Agenda 2026'!$M$2:$M$376,1)&gt;=5,CHAR(10)&amp;IFERROR(INDEX('Agenda 2026'!$B$2:$B$376,MATCH(DATE(2026,2,12)*10+5,'Agenda 2026'!$S$2:$S$376,0)),""),"")&amp;IF(COUNTIFS('Agenda 2026'!$Q$2:$Q$376,DATE(2026,2,12),'Agenda 2026'!$M$2:$M$376,1)&gt;=6,CHAR(10)&amp;IFERROR(INDEX('Agenda 2026'!$B$2:$B$376,MATCH(DATE(2026,2,12)*10+6,'Agenda 2026'!$S$2:$S$376,0)),""),"")&amp;IF(COUNTIFS('Agenda 2026'!$Q$2:$Q$376,DATE(2026,2,12),'Agenda 2026'!$M$2:$M$376,1)&gt;=7,CHAR(10)&amp;IFERROR(INDEX('Agenda 2026'!$B$2:$B$376,MATCH(DATE(2026,2,12)*10+7,'Agenda 2026'!$S$2:$S$376,0)),""),"")&amp;IF(COUNTIFS('Agenda 2026'!$Q$2:$Q$376,DATE(2026,2,12),'Agenda 2026'!$M$2:$M$376,1)&gt;=8,CHAR(10)&amp;IFERROR(INDEX('Agenda 2026'!$B$2:$B$376,MATCH(DATE(2026,2,12)*10+8,'Agenda 2026'!$S$2:$S$376,0)),""),"")&amp;IF(COUNTIFS('Agenda 2026'!$Q$2:$Q$376,DATE(2026,2,12),'Agenda 2026'!$M$2:$M$376,1)&gt;=9,CHAR(10)&amp;IFERROR(INDEX('Agenda 2026'!$B$2:$B$376,MATCH(DATE(2026,2,12)*10+9,'Agenda 2026'!$S$2:$S$376,0)),""),"")&amp;IF(COUNTIFS('Agenda 2026'!$Q$2:$Q$376,DATE(2026,2,12),'Agenda 2026'!$M$2:$M$376,1)&gt;=10,CHAR(10)&amp;IFERROR(INDEX('Agenda 2026'!$B$2:$B$376,MATCH(DATE(2026,2,12)*10+10,'Agenda 2026'!$S$2:$S$376,0)),""),"")&amp;IF(COUNTIFS('Agenda 2026'!$Q$2:$Q$376,DATE(2026,2,12),'Agenda 2026'!$M$2:$M$376,1)&gt;=11,CHAR(10)&amp;IFERROR(INDEX('Agenda 2026'!$B$2:$B$376,MATCH(DATE(2026,2,12)*10+11,'Agenda 2026'!$S$2:$S$376,0)),""),"")&amp;IF(COUNTIFS('Agenda 2026'!$Q$2:$Q$376,DATE(2026,2,12),'Agenda 2026'!$M$2:$M$376,1)&gt;=12,CHAR(10)&amp;IFERROR(INDEX('Agenda 2026'!$B$2:$B$376,MATCH(DATE(2026,2,12)*10+12,'Agenda 2026'!$S$2:$S$376,0)),""),"")</f>
        <v>12</v>
      </c>
      <c r="F21" s="58" t="str">
        <f t="array" ref="F21">13&amp;IF(COUNTIFS('Agenda 2026'!$Q$2:$Q$376,DATE(2026,2,13),'Agenda 2026'!$M$2:$M$376,1)&gt;=1,CHAR(10)&amp;IFERROR(INDEX('Agenda 2026'!$B$2:$B$376,MATCH(DATE(2026,2,13)*10+1,'Agenda 2026'!$S$2:$S$376,0)),""),"")&amp;IF(COUNTIFS('Agenda 2026'!$Q$2:$Q$376,DATE(2026,2,13),'Agenda 2026'!$M$2:$M$376,1)&gt;=2,CHAR(10)&amp;IFERROR(INDEX('Agenda 2026'!$B$2:$B$376,MATCH(DATE(2026,2,13)*10+2,'Agenda 2026'!$S$2:$S$376,0)),""),"")&amp;IF(COUNTIFS('Agenda 2026'!$Q$2:$Q$376,DATE(2026,2,13),'Agenda 2026'!$M$2:$M$376,1)&gt;=3,CHAR(10)&amp;IFERROR(INDEX('Agenda 2026'!$B$2:$B$376,MATCH(DATE(2026,2,13)*10+3,'Agenda 2026'!$S$2:$S$376,0)),""),"")&amp;IF(COUNTIFS('Agenda 2026'!$Q$2:$Q$376,DATE(2026,2,13),'Agenda 2026'!$M$2:$M$376,1)&gt;=4,CHAR(10)&amp;IFERROR(INDEX('Agenda 2026'!$B$2:$B$376,MATCH(DATE(2026,2,13)*10+4,'Agenda 2026'!$S$2:$S$376,0)),""),"")&amp;IF(COUNTIFS('Agenda 2026'!$Q$2:$Q$376,DATE(2026,2,13),'Agenda 2026'!$M$2:$M$376,1)&gt;=5,CHAR(10)&amp;IFERROR(INDEX('Agenda 2026'!$B$2:$B$376,MATCH(DATE(2026,2,13)*10+5,'Agenda 2026'!$S$2:$S$376,0)),""),"")&amp;IF(COUNTIFS('Agenda 2026'!$Q$2:$Q$376,DATE(2026,2,13),'Agenda 2026'!$M$2:$M$376,1)&gt;=6,CHAR(10)&amp;IFERROR(INDEX('Agenda 2026'!$B$2:$B$376,MATCH(DATE(2026,2,13)*10+6,'Agenda 2026'!$S$2:$S$376,0)),""),"")&amp;IF(COUNTIFS('Agenda 2026'!$Q$2:$Q$376,DATE(2026,2,13),'Agenda 2026'!$M$2:$M$376,1)&gt;=7,CHAR(10)&amp;IFERROR(INDEX('Agenda 2026'!$B$2:$B$376,MATCH(DATE(2026,2,13)*10+7,'Agenda 2026'!$S$2:$S$376,0)),""),"")&amp;IF(COUNTIFS('Agenda 2026'!$Q$2:$Q$376,DATE(2026,2,13),'Agenda 2026'!$M$2:$M$376,1)&gt;=8,CHAR(10)&amp;IFERROR(INDEX('Agenda 2026'!$B$2:$B$376,MATCH(DATE(2026,2,13)*10+8,'Agenda 2026'!$S$2:$S$376,0)),""),"")&amp;IF(COUNTIFS('Agenda 2026'!$Q$2:$Q$376,DATE(2026,2,13),'Agenda 2026'!$M$2:$M$376,1)&gt;=9,CHAR(10)&amp;IFERROR(INDEX('Agenda 2026'!$B$2:$B$376,MATCH(DATE(2026,2,13)*10+9,'Agenda 2026'!$S$2:$S$376,0)),""),"")&amp;IF(COUNTIFS('Agenda 2026'!$Q$2:$Q$376,DATE(2026,2,13),'Agenda 2026'!$M$2:$M$376,1)&gt;=10,CHAR(10)&amp;IFERROR(INDEX('Agenda 2026'!$B$2:$B$376,MATCH(DATE(2026,2,13)*10+10,'Agenda 2026'!$S$2:$S$376,0)),""),"")&amp;IF(COUNTIFS('Agenda 2026'!$Q$2:$Q$376,DATE(2026,2,13),'Agenda 2026'!$M$2:$M$376,1)&gt;=11,CHAR(10)&amp;IFERROR(INDEX('Agenda 2026'!$B$2:$B$376,MATCH(DATE(2026,2,13)*10+11,'Agenda 2026'!$S$2:$S$376,0)),""),"")&amp;IF(COUNTIFS('Agenda 2026'!$Q$2:$Q$376,DATE(2026,2,13),'Agenda 2026'!$M$2:$M$376,1)&gt;=12,CHAR(10)&amp;IFERROR(INDEX('Agenda 2026'!$B$2:$B$376,MATCH(DATE(2026,2,13)*10+12,'Agenda 2026'!$S$2:$S$376,0)),""),"")</f>
        <v>13</v>
      </c>
      <c r="G21" s="58" t="str">
        <f t="array" ref="G21">14&amp;IF(COUNTIFS('Agenda 2026'!$Q$2:$Q$376,DATE(2026,2,14),'Agenda 2026'!$M$2:$M$376,1)&gt;=1,CHAR(10)&amp;IFERROR(INDEX('Agenda 2026'!$B$2:$B$376,MATCH(DATE(2026,2,14)*10+1,'Agenda 2026'!$S$2:$S$376,0)),""),"")&amp;IF(COUNTIFS('Agenda 2026'!$Q$2:$Q$376,DATE(2026,2,14),'Agenda 2026'!$M$2:$M$376,1)&gt;=2,CHAR(10)&amp;IFERROR(INDEX('Agenda 2026'!$B$2:$B$376,MATCH(DATE(2026,2,14)*10+2,'Agenda 2026'!$S$2:$S$376,0)),""),"")&amp;IF(COUNTIFS('Agenda 2026'!$Q$2:$Q$376,DATE(2026,2,14),'Agenda 2026'!$M$2:$M$376,1)&gt;=3,CHAR(10)&amp;IFERROR(INDEX('Agenda 2026'!$B$2:$B$376,MATCH(DATE(2026,2,14)*10+3,'Agenda 2026'!$S$2:$S$376,0)),""),"")&amp;IF(COUNTIFS('Agenda 2026'!$Q$2:$Q$376,DATE(2026,2,14),'Agenda 2026'!$M$2:$M$376,1)&gt;=4,CHAR(10)&amp;IFERROR(INDEX('Agenda 2026'!$B$2:$B$376,MATCH(DATE(2026,2,14)*10+4,'Agenda 2026'!$S$2:$S$376,0)),""),"")&amp;IF(COUNTIFS('Agenda 2026'!$Q$2:$Q$376,DATE(2026,2,14),'Agenda 2026'!$M$2:$M$376,1)&gt;=5,CHAR(10)&amp;IFERROR(INDEX('Agenda 2026'!$B$2:$B$376,MATCH(DATE(2026,2,14)*10+5,'Agenda 2026'!$S$2:$S$376,0)),""),"")&amp;IF(COUNTIFS('Agenda 2026'!$Q$2:$Q$376,DATE(2026,2,14),'Agenda 2026'!$M$2:$M$376,1)&gt;=6,CHAR(10)&amp;IFERROR(INDEX('Agenda 2026'!$B$2:$B$376,MATCH(DATE(2026,2,14)*10+6,'Agenda 2026'!$S$2:$S$376,0)),""),"")&amp;IF(COUNTIFS('Agenda 2026'!$Q$2:$Q$376,DATE(2026,2,14),'Agenda 2026'!$M$2:$M$376,1)&gt;=7,CHAR(10)&amp;IFERROR(INDEX('Agenda 2026'!$B$2:$B$376,MATCH(DATE(2026,2,14)*10+7,'Agenda 2026'!$S$2:$S$376,0)),""),"")&amp;IF(COUNTIFS('Agenda 2026'!$Q$2:$Q$376,DATE(2026,2,14),'Agenda 2026'!$M$2:$M$376,1)&gt;=8,CHAR(10)&amp;IFERROR(INDEX('Agenda 2026'!$B$2:$B$376,MATCH(DATE(2026,2,14)*10+8,'Agenda 2026'!$S$2:$S$376,0)),""),"")&amp;IF(COUNTIFS('Agenda 2026'!$Q$2:$Q$376,DATE(2026,2,14),'Agenda 2026'!$M$2:$M$376,1)&gt;=9,CHAR(10)&amp;IFERROR(INDEX('Agenda 2026'!$B$2:$B$376,MATCH(DATE(2026,2,14)*10+9,'Agenda 2026'!$S$2:$S$376,0)),""),"")&amp;IF(COUNTIFS('Agenda 2026'!$Q$2:$Q$376,DATE(2026,2,14),'Agenda 2026'!$M$2:$M$376,1)&gt;=10,CHAR(10)&amp;IFERROR(INDEX('Agenda 2026'!$B$2:$B$376,MATCH(DATE(2026,2,14)*10+10,'Agenda 2026'!$S$2:$S$376,0)),""),"")&amp;IF(COUNTIFS('Agenda 2026'!$Q$2:$Q$376,DATE(2026,2,14),'Agenda 2026'!$M$2:$M$376,1)&gt;=11,CHAR(10)&amp;IFERROR(INDEX('Agenda 2026'!$B$2:$B$376,MATCH(DATE(2026,2,14)*10+11,'Agenda 2026'!$S$2:$S$376,0)),""),"")&amp;IF(COUNTIFS('Agenda 2026'!$Q$2:$Q$376,DATE(2026,2,14),'Agenda 2026'!$M$2:$M$376,1)&gt;=12,CHAR(10)&amp;IFERROR(INDEX('Agenda 2026'!$B$2:$B$376,MATCH(DATE(2026,2,14)*10+12,'Agenda 2026'!$S$2:$S$376,0)),""),"")</f>
        <v>14</v>
      </c>
      <c r="H21" s="58" t="str">
        <f t="array" ref="H21">15&amp;IF(COUNTIFS('Agenda 2026'!$Q$2:$Q$376,DATE(2026,2,15),'Agenda 2026'!$M$2:$M$376,1)&gt;=1,CHAR(10)&amp;IFERROR(INDEX('Agenda 2026'!$B$2:$B$376,MATCH(DATE(2026,2,15)*10+1,'Agenda 2026'!$S$2:$S$376,0)),""),"")&amp;IF(COUNTIFS('Agenda 2026'!$Q$2:$Q$376,DATE(2026,2,15),'Agenda 2026'!$M$2:$M$376,1)&gt;=2,CHAR(10)&amp;IFERROR(INDEX('Agenda 2026'!$B$2:$B$376,MATCH(DATE(2026,2,15)*10+2,'Agenda 2026'!$S$2:$S$376,0)),""),"")&amp;IF(COUNTIFS('Agenda 2026'!$Q$2:$Q$376,DATE(2026,2,15),'Agenda 2026'!$M$2:$M$376,1)&gt;=3,CHAR(10)&amp;IFERROR(INDEX('Agenda 2026'!$B$2:$B$376,MATCH(DATE(2026,2,15)*10+3,'Agenda 2026'!$S$2:$S$376,0)),""),"")&amp;IF(COUNTIFS('Agenda 2026'!$Q$2:$Q$376,DATE(2026,2,15),'Agenda 2026'!$M$2:$M$376,1)&gt;=4,CHAR(10)&amp;IFERROR(INDEX('Agenda 2026'!$B$2:$B$376,MATCH(DATE(2026,2,15)*10+4,'Agenda 2026'!$S$2:$S$376,0)),""),"")&amp;IF(COUNTIFS('Agenda 2026'!$Q$2:$Q$376,DATE(2026,2,15),'Agenda 2026'!$M$2:$M$376,1)&gt;=5,CHAR(10)&amp;IFERROR(INDEX('Agenda 2026'!$B$2:$B$376,MATCH(DATE(2026,2,15)*10+5,'Agenda 2026'!$S$2:$S$376,0)),""),"")&amp;IF(COUNTIFS('Agenda 2026'!$Q$2:$Q$376,DATE(2026,2,15),'Agenda 2026'!$M$2:$M$376,1)&gt;=6,CHAR(10)&amp;IFERROR(INDEX('Agenda 2026'!$B$2:$B$376,MATCH(DATE(2026,2,15)*10+6,'Agenda 2026'!$S$2:$S$376,0)),""),"")&amp;IF(COUNTIFS('Agenda 2026'!$Q$2:$Q$376,DATE(2026,2,15),'Agenda 2026'!$M$2:$M$376,1)&gt;=7,CHAR(10)&amp;IFERROR(INDEX('Agenda 2026'!$B$2:$B$376,MATCH(DATE(2026,2,15)*10+7,'Agenda 2026'!$S$2:$S$376,0)),""),"")&amp;IF(COUNTIFS('Agenda 2026'!$Q$2:$Q$376,DATE(2026,2,15),'Agenda 2026'!$M$2:$M$376,1)&gt;=8,CHAR(10)&amp;IFERROR(INDEX('Agenda 2026'!$B$2:$B$376,MATCH(DATE(2026,2,15)*10+8,'Agenda 2026'!$S$2:$S$376,0)),""),"")&amp;IF(COUNTIFS('Agenda 2026'!$Q$2:$Q$376,DATE(2026,2,15),'Agenda 2026'!$M$2:$M$376,1)&gt;=9,CHAR(10)&amp;IFERROR(INDEX('Agenda 2026'!$B$2:$B$376,MATCH(DATE(2026,2,15)*10+9,'Agenda 2026'!$S$2:$S$376,0)),""),"")&amp;IF(COUNTIFS('Agenda 2026'!$Q$2:$Q$376,DATE(2026,2,15),'Agenda 2026'!$M$2:$M$376,1)&gt;=10,CHAR(10)&amp;IFERROR(INDEX('Agenda 2026'!$B$2:$B$376,MATCH(DATE(2026,2,15)*10+10,'Agenda 2026'!$S$2:$S$376,0)),""),"")&amp;IF(COUNTIFS('Agenda 2026'!$Q$2:$Q$376,DATE(2026,2,15),'Agenda 2026'!$M$2:$M$376,1)&gt;=11,CHAR(10)&amp;IFERROR(INDEX('Agenda 2026'!$B$2:$B$376,MATCH(DATE(2026,2,15)*10+11,'Agenda 2026'!$S$2:$S$376,0)),""),"")&amp;IF(COUNTIFS('Agenda 2026'!$Q$2:$Q$376,DATE(2026,2,15),'Agenda 2026'!$M$2:$M$376,1)&gt;=12,CHAR(10)&amp;IFERROR(INDEX('Agenda 2026'!$B$2:$B$376,MATCH(DATE(2026,2,15)*10+12,'Agenda 2026'!$S$2:$S$376,0)),""),"")</f>
        <v>15</v>
      </c>
    </row>
    <row r="22" spans="1:8" ht="69.75" customHeight="1" x14ac:dyDescent="0.35">
      <c r="A22" s="17"/>
      <c r="B22" s="58" t="str">
        <f t="array" ref="B22">16&amp;IF(COUNTIFS('Agenda 2026'!$Q$2:$Q$376,DATE(2026,2,16),'Agenda 2026'!$M$2:$M$376,1)&gt;=1,CHAR(10)&amp;IFERROR(INDEX('Agenda 2026'!$B$2:$B$376,MATCH(DATE(2026,2,16)*10+1,'Agenda 2026'!$S$2:$S$376,0)),""),"")&amp;IF(COUNTIFS('Agenda 2026'!$Q$2:$Q$376,DATE(2026,2,16),'Agenda 2026'!$M$2:$M$376,1)&gt;=2,CHAR(10)&amp;IFERROR(INDEX('Agenda 2026'!$B$2:$B$376,MATCH(DATE(2026,2,16)*10+2,'Agenda 2026'!$S$2:$S$376,0)),""),"")&amp;IF(COUNTIFS('Agenda 2026'!$Q$2:$Q$376,DATE(2026,2,16),'Agenda 2026'!$M$2:$M$376,1)&gt;=3,CHAR(10)&amp;IFERROR(INDEX('Agenda 2026'!$B$2:$B$376,MATCH(DATE(2026,2,16)*10+3,'Agenda 2026'!$S$2:$S$376,0)),""),"")&amp;IF(COUNTIFS('Agenda 2026'!$Q$2:$Q$376,DATE(2026,2,16),'Agenda 2026'!$M$2:$M$376,1)&gt;=4,CHAR(10)&amp;IFERROR(INDEX('Agenda 2026'!$B$2:$B$376,MATCH(DATE(2026,2,16)*10+4,'Agenda 2026'!$S$2:$S$376,0)),""),"")&amp;IF(COUNTIFS('Agenda 2026'!$Q$2:$Q$376,DATE(2026,2,16),'Agenda 2026'!$M$2:$M$376,1)&gt;=5,CHAR(10)&amp;IFERROR(INDEX('Agenda 2026'!$B$2:$B$376,MATCH(DATE(2026,2,16)*10+5,'Agenda 2026'!$S$2:$S$376,0)),""),"")&amp;IF(COUNTIFS('Agenda 2026'!$Q$2:$Q$376,DATE(2026,2,16),'Agenda 2026'!$M$2:$M$376,1)&gt;=6,CHAR(10)&amp;IFERROR(INDEX('Agenda 2026'!$B$2:$B$376,MATCH(DATE(2026,2,16)*10+6,'Agenda 2026'!$S$2:$S$376,0)),""),"")&amp;IF(COUNTIFS('Agenda 2026'!$Q$2:$Q$376,DATE(2026,2,16),'Agenda 2026'!$M$2:$M$376,1)&gt;=7,CHAR(10)&amp;IFERROR(INDEX('Agenda 2026'!$B$2:$B$376,MATCH(DATE(2026,2,16)*10+7,'Agenda 2026'!$S$2:$S$376,0)),""),"")&amp;IF(COUNTIFS('Agenda 2026'!$Q$2:$Q$376,DATE(2026,2,16),'Agenda 2026'!$M$2:$M$376,1)&gt;=8,CHAR(10)&amp;IFERROR(INDEX('Agenda 2026'!$B$2:$B$376,MATCH(DATE(2026,2,16)*10+8,'Agenda 2026'!$S$2:$S$376,0)),""),"")&amp;IF(COUNTIFS('Agenda 2026'!$Q$2:$Q$376,DATE(2026,2,16),'Agenda 2026'!$M$2:$M$376,1)&gt;=9,CHAR(10)&amp;IFERROR(INDEX('Agenda 2026'!$B$2:$B$376,MATCH(DATE(2026,2,16)*10+9,'Agenda 2026'!$S$2:$S$376,0)),""),"")&amp;IF(COUNTIFS('Agenda 2026'!$Q$2:$Q$376,DATE(2026,2,16),'Agenda 2026'!$M$2:$M$376,1)&gt;=10,CHAR(10)&amp;IFERROR(INDEX('Agenda 2026'!$B$2:$B$376,MATCH(DATE(2026,2,16)*10+10,'Agenda 2026'!$S$2:$S$376,0)),""),"")&amp;IF(COUNTIFS('Agenda 2026'!$Q$2:$Q$376,DATE(2026,2,16),'Agenda 2026'!$M$2:$M$376,1)&gt;=11,CHAR(10)&amp;IFERROR(INDEX('Agenda 2026'!$B$2:$B$376,MATCH(DATE(2026,2,16)*10+11,'Agenda 2026'!$S$2:$S$376,0)),""),"")&amp;IF(COUNTIFS('Agenda 2026'!$Q$2:$Q$376,DATE(2026,2,16),'Agenda 2026'!$M$2:$M$376,1)&gt;=12,CHAR(10)&amp;IFERROR(INDEX('Agenda 2026'!$B$2:$B$376,MATCH(DATE(2026,2,16)*10+12,'Agenda 2026'!$S$2:$S$376,0)),""),"")</f>
        <v>16</v>
      </c>
      <c r="C22" s="58" t="str">
        <f t="array" ref="C22">17&amp;IF(COUNTIFS('Agenda 2026'!$Q$2:$Q$376,DATE(2026,2,17),'Agenda 2026'!$M$2:$M$376,1)&gt;=1,CHAR(10)&amp;IFERROR(INDEX('Agenda 2026'!$B$2:$B$376,MATCH(DATE(2026,2,17)*10+1,'Agenda 2026'!$S$2:$S$376,0)),""),"")&amp;IF(COUNTIFS('Agenda 2026'!$Q$2:$Q$376,DATE(2026,2,17),'Agenda 2026'!$M$2:$M$376,1)&gt;=2,CHAR(10)&amp;IFERROR(INDEX('Agenda 2026'!$B$2:$B$376,MATCH(DATE(2026,2,17)*10+2,'Agenda 2026'!$S$2:$S$376,0)),""),"")&amp;IF(COUNTIFS('Agenda 2026'!$Q$2:$Q$376,DATE(2026,2,17),'Agenda 2026'!$M$2:$M$376,1)&gt;=3,CHAR(10)&amp;IFERROR(INDEX('Agenda 2026'!$B$2:$B$376,MATCH(DATE(2026,2,17)*10+3,'Agenda 2026'!$S$2:$S$376,0)),""),"")&amp;IF(COUNTIFS('Agenda 2026'!$Q$2:$Q$376,DATE(2026,2,17),'Agenda 2026'!$M$2:$M$376,1)&gt;=4,CHAR(10)&amp;IFERROR(INDEX('Agenda 2026'!$B$2:$B$376,MATCH(DATE(2026,2,17)*10+4,'Agenda 2026'!$S$2:$S$376,0)),""),"")&amp;IF(COUNTIFS('Agenda 2026'!$Q$2:$Q$376,DATE(2026,2,17),'Agenda 2026'!$M$2:$M$376,1)&gt;=5,CHAR(10)&amp;IFERROR(INDEX('Agenda 2026'!$B$2:$B$376,MATCH(DATE(2026,2,17)*10+5,'Agenda 2026'!$S$2:$S$376,0)),""),"")&amp;IF(COUNTIFS('Agenda 2026'!$Q$2:$Q$376,DATE(2026,2,17),'Agenda 2026'!$M$2:$M$376,1)&gt;=6,CHAR(10)&amp;IFERROR(INDEX('Agenda 2026'!$B$2:$B$376,MATCH(DATE(2026,2,17)*10+6,'Agenda 2026'!$S$2:$S$376,0)),""),"")&amp;IF(COUNTIFS('Agenda 2026'!$Q$2:$Q$376,DATE(2026,2,17),'Agenda 2026'!$M$2:$M$376,1)&gt;=7,CHAR(10)&amp;IFERROR(INDEX('Agenda 2026'!$B$2:$B$376,MATCH(DATE(2026,2,17)*10+7,'Agenda 2026'!$S$2:$S$376,0)),""),"")&amp;IF(COUNTIFS('Agenda 2026'!$Q$2:$Q$376,DATE(2026,2,17),'Agenda 2026'!$M$2:$M$376,1)&gt;=8,CHAR(10)&amp;IFERROR(INDEX('Agenda 2026'!$B$2:$B$376,MATCH(DATE(2026,2,17)*10+8,'Agenda 2026'!$S$2:$S$376,0)),""),"")&amp;IF(COUNTIFS('Agenda 2026'!$Q$2:$Q$376,DATE(2026,2,17),'Agenda 2026'!$M$2:$M$376,1)&gt;=9,CHAR(10)&amp;IFERROR(INDEX('Agenda 2026'!$B$2:$B$376,MATCH(DATE(2026,2,17)*10+9,'Agenda 2026'!$S$2:$S$376,0)),""),"")&amp;IF(COUNTIFS('Agenda 2026'!$Q$2:$Q$376,DATE(2026,2,17),'Agenda 2026'!$M$2:$M$376,1)&gt;=10,CHAR(10)&amp;IFERROR(INDEX('Agenda 2026'!$B$2:$B$376,MATCH(DATE(2026,2,17)*10+10,'Agenda 2026'!$S$2:$S$376,0)),""),"")&amp;IF(COUNTIFS('Agenda 2026'!$Q$2:$Q$376,DATE(2026,2,17),'Agenda 2026'!$M$2:$M$376,1)&gt;=11,CHAR(10)&amp;IFERROR(INDEX('Agenda 2026'!$B$2:$B$376,MATCH(DATE(2026,2,17)*10+11,'Agenda 2026'!$S$2:$S$376,0)),""),"")&amp;IF(COUNTIFS('Agenda 2026'!$Q$2:$Q$376,DATE(2026,2,17),'Agenda 2026'!$M$2:$M$376,1)&gt;=12,CHAR(10)&amp;IFERROR(INDEX('Agenda 2026'!$B$2:$B$376,MATCH(DATE(2026,2,17)*10+12,'Agenda 2026'!$S$2:$S$376,0)),""),"")</f>
        <v>17</v>
      </c>
      <c r="D22" s="58" t="str">
        <f t="array" ref="D22">18&amp;IF(COUNTIFS('Agenda 2026'!$Q$2:$Q$376,DATE(2026,2,18),'Agenda 2026'!$M$2:$M$376,1)&gt;=1,CHAR(10)&amp;IFERROR(INDEX('Agenda 2026'!$B$2:$B$376,MATCH(DATE(2026,2,18)*10+1,'Agenda 2026'!$S$2:$S$376,0)),""),"")&amp;IF(COUNTIFS('Agenda 2026'!$Q$2:$Q$376,DATE(2026,2,18),'Agenda 2026'!$M$2:$M$376,1)&gt;=2,CHAR(10)&amp;IFERROR(INDEX('Agenda 2026'!$B$2:$B$376,MATCH(DATE(2026,2,18)*10+2,'Agenda 2026'!$S$2:$S$376,0)),""),"")&amp;IF(COUNTIFS('Agenda 2026'!$Q$2:$Q$376,DATE(2026,2,18),'Agenda 2026'!$M$2:$M$376,1)&gt;=3,CHAR(10)&amp;IFERROR(INDEX('Agenda 2026'!$B$2:$B$376,MATCH(DATE(2026,2,18)*10+3,'Agenda 2026'!$S$2:$S$376,0)),""),"")&amp;IF(COUNTIFS('Agenda 2026'!$Q$2:$Q$376,DATE(2026,2,18),'Agenda 2026'!$M$2:$M$376,1)&gt;=4,CHAR(10)&amp;IFERROR(INDEX('Agenda 2026'!$B$2:$B$376,MATCH(DATE(2026,2,18)*10+4,'Agenda 2026'!$S$2:$S$376,0)),""),"")&amp;IF(COUNTIFS('Agenda 2026'!$Q$2:$Q$376,DATE(2026,2,18),'Agenda 2026'!$M$2:$M$376,1)&gt;=5,CHAR(10)&amp;IFERROR(INDEX('Agenda 2026'!$B$2:$B$376,MATCH(DATE(2026,2,18)*10+5,'Agenda 2026'!$S$2:$S$376,0)),""),"")&amp;IF(COUNTIFS('Agenda 2026'!$Q$2:$Q$376,DATE(2026,2,18),'Agenda 2026'!$M$2:$M$376,1)&gt;=6,CHAR(10)&amp;IFERROR(INDEX('Agenda 2026'!$B$2:$B$376,MATCH(DATE(2026,2,18)*10+6,'Agenda 2026'!$S$2:$S$376,0)),""),"")&amp;IF(COUNTIFS('Agenda 2026'!$Q$2:$Q$376,DATE(2026,2,18),'Agenda 2026'!$M$2:$M$376,1)&gt;=7,CHAR(10)&amp;IFERROR(INDEX('Agenda 2026'!$B$2:$B$376,MATCH(DATE(2026,2,18)*10+7,'Agenda 2026'!$S$2:$S$376,0)),""),"")&amp;IF(COUNTIFS('Agenda 2026'!$Q$2:$Q$376,DATE(2026,2,18),'Agenda 2026'!$M$2:$M$376,1)&gt;=8,CHAR(10)&amp;IFERROR(INDEX('Agenda 2026'!$B$2:$B$376,MATCH(DATE(2026,2,18)*10+8,'Agenda 2026'!$S$2:$S$376,0)),""),"")&amp;IF(COUNTIFS('Agenda 2026'!$Q$2:$Q$376,DATE(2026,2,18),'Agenda 2026'!$M$2:$M$376,1)&gt;=9,CHAR(10)&amp;IFERROR(INDEX('Agenda 2026'!$B$2:$B$376,MATCH(DATE(2026,2,18)*10+9,'Agenda 2026'!$S$2:$S$376,0)),""),"")&amp;IF(COUNTIFS('Agenda 2026'!$Q$2:$Q$376,DATE(2026,2,18),'Agenda 2026'!$M$2:$M$376,1)&gt;=10,CHAR(10)&amp;IFERROR(INDEX('Agenda 2026'!$B$2:$B$376,MATCH(DATE(2026,2,18)*10+10,'Agenda 2026'!$S$2:$S$376,0)),""),"")&amp;IF(COUNTIFS('Agenda 2026'!$Q$2:$Q$376,DATE(2026,2,18),'Agenda 2026'!$M$2:$M$376,1)&gt;=11,CHAR(10)&amp;IFERROR(INDEX('Agenda 2026'!$B$2:$B$376,MATCH(DATE(2026,2,18)*10+11,'Agenda 2026'!$S$2:$S$376,0)),""),"")&amp;IF(COUNTIFS('Agenda 2026'!$Q$2:$Q$376,DATE(2026,2,18),'Agenda 2026'!$M$2:$M$376,1)&gt;=12,CHAR(10)&amp;IFERROR(INDEX('Agenda 2026'!$B$2:$B$376,MATCH(DATE(2026,2,18)*10+12,'Agenda 2026'!$S$2:$S$376,0)),""),"")</f>
        <v>18</v>
      </c>
      <c r="E22" s="58" t="str">
        <f t="array" ref="E22">19&amp;IF(COUNTIFS('Agenda 2026'!$Q$2:$Q$376,DATE(2026,2,19),'Agenda 2026'!$M$2:$M$376,1)&gt;=1,CHAR(10)&amp;IFERROR(INDEX('Agenda 2026'!$B$2:$B$376,MATCH(DATE(2026,2,19)*10+1,'Agenda 2026'!$S$2:$S$376,0)),""),"")&amp;IF(COUNTIFS('Agenda 2026'!$Q$2:$Q$376,DATE(2026,2,19),'Agenda 2026'!$M$2:$M$376,1)&gt;=2,CHAR(10)&amp;IFERROR(INDEX('Agenda 2026'!$B$2:$B$376,MATCH(DATE(2026,2,19)*10+2,'Agenda 2026'!$S$2:$S$376,0)),""),"")&amp;IF(COUNTIFS('Agenda 2026'!$Q$2:$Q$376,DATE(2026,2,19),'Agenda 2026'!$M$2:$M$376,1)&gt;=3,CHAR(10)&amp;IFERROR(INDEX('Agenda 2026'!$B$2:$B$376,MATCH(DATE(2026,2,19)*10+3,'Agenda 2026'!$S$2:$S$376,0)),""),"")&amp;IF(COUNTIFS('Agenda 2026'!$Q$2:$Q$376,DATE(2026,2,19),'Agenda 2026'!$M$2:$M$376,1)&gt;=4,CHAR(10)&amp;IFERROR(INDEX('Agenda 2026'!$B$2:$B$376,MATCH(DATE(2026,2,19)*10+4,'Agenda 2026'!$S$2:$S$376,0)),""),"")&amp;IF(COUNTIFS('Agenda 2026'!$Q$2:$Q$376,DATE(2026,2,19),'Agenda 2026'!$M$2:$M$376,1)&gt;=5,CHAR(10)&amp;IFERROR(INDEX('Agenda 2026'!$B$2:$B$376,MATCH(DATE(2026,2,19)*10+5,'Agenda 2026'!$S$2:$S$376,0)),""),"")&amp;IF(COUNTIFS('Agenda 2026'!$Q$2:$Q$376,DATE(2026,2,19),'Agenda 2026'!$M$2:$M$376,1)&gt;=6,CHAR(10)&amp;IFERROR(INDEX('Agenda 2026'!$B$2:$B$376,MATCH(DATE(2026,2,19)*10+6,'Agenda 2026'!$S$2:$S$376,0)),""),"")&amp;IF(COUNTIFS('Agenda 2026'!$Q$2:$Q$376,DATE(2026,2,19),'Agenda 2026'!$M$2:$M$376,1)&gt;=7,CHAR(10)&amp;IFERROR(INDEX('Agenda 2026'!$B$2:$B$376,MATCH(DATE(2026,2,19)*10+7,'Agenda 2026'!$S$2:$S$376,0)),""),"")&amp;IF(COUNTIFS('Agenda 2026'!$Q$2:$Q$376,DATE(2026,2,19),'Agenda 2026'!$M$2:$M$376,1)&gt;=8,CHAR(10)&amp;IFERROR(INDEX('Agenda 2026'!$B$2:$B$376,MATCH(DATE(2026,2,19)*10+8,'Agenda 2026'!$S$2:$S$376,0)),""),"")&amp;IF(COUNTIFS('Agenda 2026'!$Q$2:$Q$376,DATE(2026,2,19),'Agenda 2026'!$M$2:$M$376,1)&gt;=9,CHAR(10)&amp;IFERROR(INDEX('Agenda 2026'!$B$2:$B$376,MATCH(DATE(2026,2,19)*10+9,'Agenda 2026'!$S$2:$S$376,0)),""),"")&amp;IF(COUNTIFS('Agenda 2026'!$Q$2:$Q$376,DATE(2026,2,19),'Agenda 2026'!$M$2:$M$376,1)&gt;=10,CHAR(10)&amp;IFERROR(INDEX('Agenda 2026'!$B$2:$B$376,MATCH(DATE(2026,2,19)*10+10,'Agenda 2026'!$S$2:$S$376,0)),""),"")&amp;IF(COUNTIFS('Agenda 2026'!$Q$2:$Q$376,DATE(2026,2,19),'Agenda 2026'!$M$2:$M$376,1)&gt;=11,CHAR(10)&amp;IFERROR(INDEX('Agenda 2026'!$B$2:$B$376,MATCH(DATE(2026,2,19)*10+11,'Agenda 2026'!$S$2:$S$376,0)),""),"")&amp;IF(COUNTIFS('Agenda 2026'!$Q$2:$Q$376,DATE(2026,2,19),'Agenda 2026'!$M$2:$M$376,1)&gt;=12,CHAR(10)&amp;IFERROR(INDEX('Agenda 2026'!$B$2:$B$376,MATCH(DATE(2026,2,19)*10+12,'Agenda 2026'!$S$2:$S$376,0)),""),"")</f>
        <v>19</v>
      </c>
      <c r="F22" s="58" t="str">
        <f t="array" ref="F22">20&amp;IF(COUNTIFS('Agenda 2026'!$Q$2:$Q$376,DATE(2026,2,20),'Agenda 2026'!$M$2:$M$376,1)&gt;=1,CHAR(10)&amp;IFERROR(INDEX('Agenda 2026'!$B$2:$B$376,MATCH(DATE(2026,2,20)*10+1,'Agenda 2026'!$S$2:$S$376,0)),""),"")&amp;IF(COUNTIFS('Agenda 2026'!$Q$2:$Q$376,DATE(2026,2,20),'Agenda 2026'!$M$2:$M$376,1)&gt;=2,CHAR(10)&amp;IFERROR(INDEX('Agenda 2026'!$B$2:$B$376,MATCH(DATE(2026,2,20)*10+2,'Agenda 2026'!$S$2:$S$376,0)),""),"")&amp;IF(COUNTIFS('Agenda 2026'!$Q$2:$Q$376,DATE(2026,2,20),'Agenda 2026'!$M$2:$M$376,1)&gt;=3,CHAR(10)&amp;IFERROR(INDEX('Agenda 2026'!$B$2:$B$376,MATCH(DATE(2026,2,20)*10+3,'Agenda 2026'!$S$2:$S$376,0)),""),"")&amp;IF(COUNTIFS('Agenda 2026'!$Q$2:$Q$376,DATE(2026,2,20),'Agenda 2026'!$M$2:$M$376,1)&gt;=4,CHAR(10)&amp;IFERROR(INDEX('Agenda 2026'!$B$2:$B$376,MATCH(DATE(2026,2,20)*10+4,'Agenda 2026'!$S$2:$S$376,0)),""),"")&amp;IF(COUNTIFS('Agenda 2026'!$Q$2:$Q$376,DATE(2026,2,20),'Agenda 2026'!$M$2:$M$376,1)&gt;=5,CHAR(10)&amp;IFERROR(INDEX('Agenda 2026'!$B$2:$B$376,MATCH(DATE(2026,2,20)*10+5,'Agenda 2026'!$S$2:$S$376,0)),""),"")&amp;IF(COUNTIFS('Agenda 2026'!$Q$2:$Q$376,DATE(2026,2,20),'Agenda 2026'!$M$2:$M$376,1)&gt;=6,CHAR(10)&amp;IFERROR(INDEX('Agenda 2026'!$B$2:$B$376,MATCH(DATE(2026,2,20)*10+6,'Agenda 2026'!$S$2:$S$376,0)),""),"")&amp;IF(COUNTIFS('Agenda 2026'!$Q$2:$Q$376,DATE(2026,2,20),'Agenda 2026'!$M$2:$M$376,1)&gt;=7,CHAR(10)&amp;IFERROR(INDEX('Agenda 2026'!$B$2:$B$376,MATCH(DATE(2026,2,20)*10+7,'Agenda 2026'!$S$2:$S$376,0)),""),"")&amp;IF(COUNTIFS('Agenda 2026'!$Q$2:$Q$376,DATE(2026,2,20),'Agenda 2026'!$M$2:$M$376,1)&gt;=8,CHAR(10)&amp;IFERROR(INDEX('Agenda 2026'!$B$2:$B$376,MATCH(DATE(2026,2,20)*10+8,'Agenda 2026'!$S$2:$S$376,0)),""),"")&amp;IF(COUNTIFS('Agenda 2026'!$Q$2:$Q$376,DATE(2026,2,20),'Agenda 2026'!$M$2:$M$376,1)&gt;=9,CHAR(10)&amp;IFERROR(INDEX('Agenda 2026'!$B$2:$B$376,MATCH(DATE(2026,2,20)*10+9,'Agenda 2026'!$S$2:$S$376,0)),""),"")&amp;IF(COUNTIFS('Agenda 2026'!$Q$2:$Q$376,DATE(2026,2,20),'Agenda 2026'!$M$2:$M$376,1)&gt;=10,CHAR(10)&amp;IFERROR(INDEX('Agenda 2026'!$B$2:$B$376,MATCH(DATE(2026,2,20)*10+10,'Agenda 2026'!$S$2:$S$376,0)),""),"")&amp;IF(COUNTIFS('Agenda 2026'!$Q$2:$Q$376,DATE(2026,2,20),'Agenda 2026'!$M$2:$M$376,1)&gt;=11,CHAR(10)&amp;IFERROR(INDEX('Agenda 2026'!$B$2:$B$376,MATCH(DATE(2026,2,20)*10+11,'Agenda 2026'!$S$2:$S$376,0)),""),"")&amp;IF(COUNTIFS('Agenda 2026'!$Q$2:$Q$376,DATE(2026,2,20),'Agenda 2026'!$M$2:$M$376,1)&gt;=12,CHAR(10)&amp;IFERROR(INDEX('Agenda 2026'!$B$2:$B$376,MATCH(DATE(2026,2,20)*10+12,'Agenda 2026'!$S$2:$S$376,0)),""),"")</f>
        <v>20</v>
      </c>
      <c r="G22" s="58" t="str">
        <f t="array" ref="G22">21&amp;IF(COUNTIFS('Agenda 2026'!$Q$2:$Q$376,DATE(2026,2,21),'Agenda 2026'!$M$2:$M$376,1)&gt;=1,CHAR(10)&amp;IFERROR(INDEX('Agenda 2026'!$B$2:$B$376,MATCH(DATE(2026,2,21)*10+1,'Agenda 2026'!$S$2:$S$376,0)),""),"")&amp;IF(COUNTIFS('Agenda 2026'!$Q$2:$Q$376,DATE(2026,2,21),'Agenda 2026'!$M$2:$M$376,1)&gt;=2,CHAR(10)&amp;IFERROR(INDEX('Agenda 2026'!$B$2:$B$376,MATCH(DATE(2026,2,21)*10+2,'Agenda 2026'!$S$2:$S$376,0)),""),"")&amp;IF(COUNTIFS('Agenda 2026'!$Q$2:$Q$376,DATE(2026,2,21),'Agenda 2026'!$M$2:$M$376,1)&gt;=3,CHAR(10)&amp;IFERROR(INDEX('Agenda 2026'!$B$2:$B$376,MATCH(DATE(2026,2,21)*10+3,'Agenda 2026'!$S$2:$S$376,0)),""),"")&amp;IF(COUNTIFS('Agenda 2026'!$Q$2:$Q$376,DATE(2026,2,21),'Agenda 2026'!$M$2:$M$376,1)&gt;=4,CHAR(10)&amp;IFERROR(INDEX('Agenda 2026'!$B$2:$B$376,MATCH(DATE(2026,2,21)*10+4,'Agenda 2026'!$S$2:$S$376,0)),""),"")&amp;IF(COUNTIFS('Agenda 2026'!$Q$2:$Q$376,DATE(2026,2,21),'Agenda 2026'!$M$2:$M$376,1)&gt;=5,CHAR(10)&amp;IFERROR(INDEX('Agenda 2026'!$B$2:$B$376,MATCH(DATE(2026,2,21)*10+5,'Agenda 2026'!$S$2:$S$376,0)),""),"")&amp;IF(COUNTIFS('Agenda 2026'!$Q$2:$Q$376,DATE(2026,2,21),'Agenda 2026'!$M$2:$M$376,1)&gt;=6,CHAR(10)&amp;IFERROR(INDEX('Agenda 2026'!$B$2:$B$376,MATCH(DATE(2026,2,21)*10+6,'Agenda 2026'!$S$2:$S$376,0)),""),"")&amp;IF(COUNTIFS('Agenda 2026'!$Q$2:$Q$376,DATE(2026,2,21),'Agenda 2026'!$M$2:$M$376,1)&gt;=7,CHAR(10)&amp;IFERROR(INDEX('Agenda 2026'!$B$2:$B$376,MATCH(DATE(2026,2,21)*10+7,'Agenda 2026'!$S$2:$S$376,0)),""),"")&amp;IF(COUNTIFS('Agenda 2026'!$Q$2:$Q$376,DATE(2026,2,21),'Agenda 2026'!$M$2:$M$376,1)&gt;=8,CHAR(10)&amp;IFERROR(INDEX('Agenda 2026'!$B$2:$B$376,MATCH(DATE(2026,2,21)*10+8,'Agenda 2026'!$S$2:$S$376,0)),""),"")&amp;IF(COUNTIFS('Agenda 2026'!$Q$2:$Q$376,DATE(2026,2,21),'Agenda 2026'!$M$2:$M$376,1)&gt;=9,CHAR(10)&amp;IFERROR(INDEX('Agenda 2026'!$B$2:$B$376,MATCH(DATE(2026,2,21)*10+9,'Agenda 2026'!$S$2:$S$376,0)),""),"")&amp;IF(COUNTIFS('Agenda 2026'!$Q$2:$Q$376,DATE(2026,2,21),'Agenda 2026'!$M$2:$M$376,1)&gt;=10,CHAR(10)&amp;IFERROR(INDEX('Agenda 2026'!$B$2:$B$376,MATCH(DATE(2026,2,21)*10+10,'Agenda 2026'!$S$2:$S$376,0)),""),"")&amp;IF(COUNTIFS('Agenda 2026'!$Q$2:$Q$376,DATE(2026,2,21),'Agenda 2026'!$M$2:$M$376,1)&gt;=11,CHAR(10)&amp;IFERROR(INDEX('Agenda 2026'!$B$2:$B$376,MATCH(DATE(2026,2,21)*10+11,'Agenda 2026'!$S$2:$S$376,0)),""),"")&amp;IF(COUNTIFS('Agenda 2026'!$Q$2:$Q$376,DATE(2026,2,21),'Agenda 2026'!$M$2:$M$376,1)&gt;=12,CHAR(10)&amp;IFERROR(INDEX('Agenda 2026'!$B$2:$B$376,MATCH(DATE(2026,2,21)*10+12,'Agenda 2026'!$S$2:$S$376,0)),""),"")</f>
        <v>21</v>
      </c>
      <c r="H22" s="58" t="str">
        <f t="array" ref="H22">22&amp;IF(COUNTIFS('Agenda 2026'!$Q$2:$Q$376,DATE(2026,2,22),'Agenda 2026'!$M$2:$M$376,1)&gt;=1,CHAR(10)&amp;IFERROR(INDEX('Agenda 2026'!$B$2:$B$376,MATCH(DATE(2026,2,22)*10+1,'Agenda 2026'!$S$2:$S$376,0)),""),"")&amp;IF(COUNTIFS('Agenda 2026'!$Q$2:$Q$376,DATE(2026,2,22),'Agenda 2026'!$M$2:$M$376,1)&gt;=2,CHAR(10)&amp;IFERROR(INDEX('Agenda 2026'!$B$2:$B$376,MATCH(DATE(2026,2,22)*10+2,'Agenda 2026'!$S$2:$S$376,0)),""),"")&amp;IF(COUNTIFS('Agenda 2026'!$Q$2:$Q$376,DATE(2026,2,22),'Agenda 2026'!$M$2:$M$376,1)&gt;=3,CHAR(10)&amp;IFERROR(INDEX('Agenda 2026'!$B$2:$B$376,MATCH(DATE(2026,2,22)*10+3,'Agenda 2026'!$S$2:$S$376,0)),""),"")&amp;IF(COUNTIFS('Agenda 2026'!$Q$2:$Q$376,DATE(2026,2,22),'Agenda 2026'!$M$2:$M$376,1)&gt;=4,CHAR(10)&amp;IFERROR(INDEX('Agenda 2026'!$B$2:$B$376,MATCH(DATE(2026,2,22)*10+4,'Agenda 2026'!$S$2:$S$376,0)),""),"")&amp;IF(COUNTIFS('Agenda 2026'!$Q$2:$Q$376,DATE(2026,2,22),'Agenda 2026'!$M$2:$M$376,1)&gt;=5,CHAR(10)&amp;IFERROR(INDEX('Agenda 2026'!$B$2:$B$376,MATCH(DATE(2026,2,22)*10+5,'Agenda 2026'!$S$2:$S$376,0)),""),"")&amp;IF(COUNTIFS('Agenda 2026'!$Q$2:$Q$376,DATE(2026,2,22),'Agenda 2026'!$M$2:$M$376,1)&gt;=6,CHAR(10)&amp;IFERROR(INDEX('Agenda 2026'!$B$2:$B$376,MATCH(DATE(2026,2,22)*10+6,'Agenda 2026'!$S$2:$S$376,0)),""),"")&amp;IF(COUNTIFS('Agenda 2026'!$Q$2:$Q$376,DATE(2026,2,22),'Agenda 2026'!$M$2:$M$376,1)&gt;=7,CHAR(10)&amp;IFERROR(INDEX('Agenda 2026'!$B$2:$B$376,MATCH(DATE(2026,2,22)*10+7,'Agenda 2026'!$S$2:$S$376,0)),""),"")&amp;IF(COUNTIFS('Agenda 2026'!$Q$2:$Q$376,DATE(2026,2,22),'Agenda 2026'!$M$2:$M$376,1)&gt;=8,CHAR(10)&amp;IFERROR(INDEX('Agenda 2026'!$B$2:$B$376,MATCH(DATE(2026,2,22)*10+8,'Agenda 2026'!$S$2:$S$376,0)),""),"")&amp;IF(COUNTIFS('Agenda 2026'!$Q$2:$Q$376,DATE(2026,2,22),'Agenda 2026'!$M$2:$M$376,1)&gt;=9,CHAR(10)&amp;IFERROR(INDEX('Agenda 2026'!$B$2:$B$376,MATCH(DATE(2026,2,22)*10+9,'Agenda 2026'!$S$2:$S$376,0)),""),"")&amp;IF(COUNTIFS('Agenda 2026'!$Q$2:$Q$376,DATE(2026,2,22),'Agenda 2026'!$M$2:$M$376,1)&gt;=10,CHAR(10)&amp;IFERROR(INDEX('Agenda 2026'!$B$2:$B$376,MATCH(DATE(2026,2,22)*10+10,'Agenda 2026'!$S$2:$S$376,0)),""),"")&amp;IF(COUNTIFS('Agenda 2026'!$Q$2:$Q$376,DATE(2026,2,22),'Agenda 2026'!$M$2:$M$376,1)&gt;=11,CHAR(10)&amp;IFERROR(INDEX('Agenda 2026'!$B$2:$B$376,MATCH(DATE(2026,2,22)*10+11,'Agenda 2026'!$S$2:$S$376,0)),""),"")&amp;IF(COUNTIFS('Agenda 2026'!$Q$2:$Q$376,DATE(2026,2,22),'Agenda 2026'!$M$2:$M$376,1)&gt;=12,CHAR(10)&amp;IFERROR(INDEX('Agenda 2026'!$B$2:$B$376,MATCH(DATE(2026,2,22)*10+12,'Agenda 2026'!$S$2:$S$376,0)),""),"")</f>
        <v>22</v>
      </c>
    </row>
    <row r="23" spans="1:8" ht="45.75" customHeight="1" x14ac:dyDescent="0.35">
      <c r="A23" s="17"/>
      <c r="B23" s="58" t="str">
        <f t="array" ref="B23">23&amp;IF(COUNTIFS('Agenda 2026'!$Q$2:$Q$376,DATE(2026,2,23),'Agenda 2026'!$M$2:$M$376,1)&gt;=1,CHAR(10)&amp;IFERROR(INDEX('Agenda 2026'!$B$2:$B$376,MATCH(DATE(2026,2,23)*10+1,'Agenda 2026'!$S$2:$S$376,0)),""),"")&amp;IF(COUNTIFS('Agenda 2026'!$Q$2:$Q$376,DATE(2026,2,23),'Agenda 2026'!$M$2:$M$376,1)&gt;=2,CHAR(10)&amp;IFERROR(INDEX('Agenda 2026'!$B$2:$B$376,MATCH(DATE(2026,2,23)*10+2,'Agenda 2026'!$S$2:$S$376,0)),""),"")&amp;IF(COUNTIFS('Agenda 2026'!$Q$2:$Q$376,DATE(2026,2,23),'Agenda 2026'!$M$2:$M$376,1)&gt;=3,CHAR(10)&amp;IFERROR(INDEX('Agenda 2026'!$B$2:$B$376,MATCH(DATE(2026,2,23)*10+3,'Agenda 2026'!$S$2:$S$376,0)),""),"")&amp;IF(COUNTIFS('Agenda 2026'!$Q$2:$Q$376,DATE(2026,2,23),'Agenda 2026'!$M$2:$M$376,1)&gt;=4,CHAR(10)&amp;IFERROR(INDEX('Agenda 2026'!$B$2:$B$376,MATCH(DATE(2026,2,23)*10+4,'Agenda 2026'!$S$2:$S$376,0)),""),"")&amp;IF(COUNTIFS('Agenda 2026'!$Q$2:$Q$376,DATE(2026,2,23),'Agenda 2026'!$M$2:$M$376,1)&gt;=5,CHAR(10)&amp;IFERROR(INDEX('Agenda 2026'!$B$2:$B$376,MATCH(DATE(2026,2,23)*10+5,'Agenda 2026'!$S$2:$S$376,0)),""),"")&amp;IF(COUNTIFS('Agenda 2026'!$Q$2:$Q$376,DATE(2026,2,23),'Agenda 2026'!$M$2:$M$376,1)&gt;=6,CHAR(10)&amp;IFERROR(INDEX('Agenda 2026'!$B$2:$B$376,MATCH(DATE(2026,2,23)*10+6,'Agenda 2026'!$S$2:$S$376,0)),""),"")&amp;IF(COUNTIFS('Agenda 2026'!$Q$2:$Q$376,DATE(2026,2,23),'Agenda 2026'!$M$2:$M$376,1)&gt;=7,CHAR(10)&amp;IFERROR(INDEX('Agenda 2026'!$B$2:$B$376,MATCH(DATE(2026,2,23)*10+7,'Agenda 2026'!$S$2:$S$376,0)),""),"")&amp;IF(COUNTIFS('Agenda 2026'!$Q$2:$Q$376,DATE(2026,2,23),'Agenda 2026'!$M$2:$M$376,1)&gt;=8,CHAR(10)&amp;IFERROR(INDEX('Agenda 2026'!$B$2:$B$376,MATCH(DATE(2026,2,23)*10+8,'Agenda 2026'!$S$2:$S$376,0)),""),"")&amp;IF(COUNTIFS('Agenda 2026'!$Q$2:$Q$376,DATE(2026,2,23),'Agenda 2026'!$M$2:$M$376,1)&gt;=9,CHAR(10)&amp;IFERROR(INDEX('Agenda 2026'!$B$2:$B$376,MATCH(DATE(2026,2,23)*10+9,'Agenda 2026'!$S$2:$S$376,0)),""),"")&amp;IF(COUNTIFS('Agenda 2026'!$Q$2:$Q$376,DATE(2026,2,23),'Agenda 2026'!$M$2:$M$376,1)&gt;=10,CHAR(10)&amp;IFERROR(INDEX('Agenda 2026'!$B$2:$B$376,MATCH(DATE(2026,2,23)*10+10,'Agenda 2026'!$S$2:$S$376,0)),""),"")&amp;IF(COUNTIFS('Agenda 2026'!$Q$2:$Q$376,DATE(2026,2,23),'Agenda 2026'!$M$2:$M$376,1)&gt;=11,CHAR(10)&amp;IFERROR(INDEX('Agenda 2026'!$B$2:$B$376,MATCH(DATE(2026,2,23)*10+11,'Agenda 2026'!$S$2:$S$376,0)),""),"")&amp;IF(COUNTIFS('Agenda 2026'!$Q$2:$Q$376,DATE(2026,2,23),'Agenda 2026'!$M$2:$M$376,1)&gt;=12,CHAR(10)&amp;IFERROR(INDEX('Agenda 2026'!$B$2:$B$376,MATCH(DATE(2026,2,23)*10+12,'Agenda 2026'!$S$2:$S$376,0)),""),"")</f>
        <v>23</v>
      </c>
      <c r="C23" s="58" t="str">
        <f t="array" ref="C23">24&amp;IF(COUNTIFS('Agenda 2026'!$Q$2:$Q$376,DATE(2026,2,24),'Agenda 2026'!$M$2:$M$376,1)&gt;=1,CHAR(10)&amp;IFERROR(INDEX('Agenda 2026'!$B$2:$B$376,MATCH(DATE(2026,2,24)*10+1,'Agenda 2026'!$S$2:$S$376,0)),""),"")&amp;IF(COUNTIFS('Agenda 2026'!$Q$2:$Q$376,DATE(2026,2,24),'Agenda 2026'!$M$2:$M$376,1)&gt;=2,CHAR(10)&amp;IFERROR(INDEX('Agenda 2026'!$B$2:$B$376,MATCH(DATE(2026,2,24)*10+2,'Agenda 2026'!$S$2:$S$376,0)),""),"")&amp;IF(COUNTIFS('Agenda 2026'!$Q$2:$Q$376,DATE(2026,2,24),'Agenda 2026'!$M$2:$M$376,1)&gt;=3,CHAR(10)&amp;IFERROR(INDEX('Agenda 2026'!$B$2:$B$376,MATCH(DATE(2026,2,24)*10+3,'Agenda 2026'!$S$2:$S$376,0)),""),"")&amp;IF(COUNTIFS('Agenda 2026'!$Q$2:$Q$376,DATE(2026,2,24),'Agenda 2026'!$M$2:$M$376,1)&gt;=4,CHAR(10)&amp;IFERROR(INDEX('Agenda 2026'!$B$2:$B$376,MATCH(DATE(2026,2,24)*10+4,'Agenda 2026'!$S$2:$S$376,0)),""),"")&amp;IF(COUNTIFS('Agenda 2026'!$Q$2:$Q$376,DATE(2026,2,24),'Agenda 2026'!$M$2:$M$376,1)&gt;=5,CHAR(10)&amp;IFERROR(INDEX('Agenda 2026'!$B$2:$B$376,MATCH(DATE(2026,2,24)*10+5,'Agenda 2026'!$S$2:$S$376,0)),""),"")&amp;IF(COUNTIFS('Agenda 2026'!$Q$2:$Q$376,DATE(2026,2,24),'Agenda 2026'!$M$2:$M$376,1)&gt;=6,CHAR(10)&amp;IFERROR(INDEX('Agenda 2026'!$B$2:$B$376,MATCH(DATE(2026,2,24)*10+6,'Agenda 2026'!$S$2:$S$376,0)),""),"")&amp;IF(COUNTIFS('Agenda 2026'!$Q$2:$Q$376,DATE(2026,2,24),'Agenda 2026'!$M$2:$M$376,1)&gt;=7,CHAR(10)&amp;IFERROR(INDEX('Agenda 2026'!$B$2:$B$376,MATCH(DATE(2026,2,24)*10+7,'Agenda 2026'!$S$2:$S$376,0)),""),"")&amp;IF(COUNTIFS('Agenda 2026'!$Q$2:$Q$376,DATE(2026,2,24),'Agenda 2026'!$M$2:$M$376,1)&gt;=8,CHAR(10)&amp;IFERROR(INDEX('Agenda 2026'!$B$2:$B$376,MATCH(DATE(2026,2,24)*10+8,'Agenda 2026'!$S$2:$S$376,0)),""),"")&amp;IF(COUNTIFS('Agenda 2026'!$Q$2:$Q$376,DATE(2026,2,24),'Agenda 2026'!$M$2:$M$376,1)&gt;=9,CHAR(10)&amp;IFERROR(INDEX('Agenda 2026'!$B$2:$B$376,MATCH(DATE(2026,2,24)*10+9,'Agenda 2026'!$S$2:$S$376,0)),""),"")&amp;IF(COUNTIFS('Agenda 2026'!$Q$2:$Q$376,DATE(2026,2,24),'Agenda 2026'!$M$2:$M$376,1)&gt;=10,CHAR(10)&amp;IFERROR(INDEX('Agenda 2026'!$B$2:$B$376,MATCH(DATE(2026,2,24)*10+10,'Agenda 2026'!$S$2:$S$376,0)),""),"")&amp;IF(COUNTIFS('Agenda 2026'!$Q$2:$Q$376,DATE(2026,2,24),'Agenda 2026'!$M$2:$M$376,1)&gt;=11,CHAR(10)&amp;IFERROR(INDEX('Agenda 2026'!$B$2:$B$376,MATCH(DATE(2026,2,24)*10+11,'Agenda 2026'!$S$2:$S$376,0)),""),"")&amp;IF(COUNTIFS('Agenda 2026'!$Q$2:$Q$376,DATE(2026,2,24),'Agenda 2026'!$M$2:$M$376,1)&gt;=12,CHAR(10)&amp;IFERROR(INDEX('Agenda 2026'!$B$2:$B$376,MATCH(DATE(2026,2,24)*10+12,'Agenda 2026'!$S$2:$S$376,0)),""),"")</f>
        <v>24</v>
      </c>
      <c r="D23" s="58" t="str">
        <f t="array" ref="D23">25&amp;IF(COUNTIFS('Agenda 2026'!$Q$2:$Q$376,DATE(2026,2,25),'Agenda 2026'!$M$2:$M$376,1)&gt;=1,CHAR(10)&amp;IFERROR(INDEX('Agenda 2026'!$B$2:$B$376,MATCH(DATE(2026,2,25)*10+1,'Agenda 2026'!$S$2:$S$376,0)),""),"")&amp;IF(COUNTIFS('Agenda 2026'!$Q$2:$Q$376,DATE(2026,2,25),'Agenda 2026'!$M$2:$M$376,1)&gt;=2,CHAR(10)&amp;IFERROR(INDEX('Agenda 2026'!$B$2:$B$376,MATCH(DATE(2026,2,25)*10+2,'Agenda 2026'!$S$2:$S$376,0)),""),"")&amp;IF(COUNTIFS('Agenda 2026'!$Q$2:$Q$376,DATE(2026,2,25),'Agenda 2026'!$M$2:$M$376,1)&gt;=3,CHAR(10)&amp;IFERROR(INDEX('Agenda 2026'!$B$2:$B$376,MATCH(DATE(2026,2,25)*10+3,'Agenda 2026'!$S$2:$S$376,0)),""),"")&amp;IF(COUNTIFS('Agenda 2026'!$Q$2:$Q$376,DATE(2026,2,25),'Agenda 2026'!$M$2:$M$376,1)&gt;=4,CHAR(10)&amp;IFERROR(INDEX('Agenda 2026'!$B$2:$B$376,MATCH(DATE(2026,2,25)*10+4,'Agenda 2026'!$S$2:$S$376,0)),""),"")&amp;IF(COUNTIFS('Agenda 2026'!$Q$2:$Q$376,DATE(2026,2,25),'Agenda 2026'!$M$2:$M$376,1)&gt;=5,CHAR(10)&amp;IFERROR(INDEX('Agenda 2026'!$B$2:$B$376,MATCH(DATE(2026,2,25)*10+5,'Agenda 2026'!$S$2:$S$376,0)),""),"")&amp;IF(COUNTIFS('Agenda 2026'!$Q$2:$Q$376,DATE(2026,2,25),'Agenda 2026'!$M$2:$M$376,1)&gt;=6,CHAR(10)&amp;IFERROR(INDEX('Agenda 2026'!$B$2:$B$376,MATCH(DATE(2026,2,25)*10+6,'Agenda 2026'!$S$2:$S$376,0)),""),"")&amp;IF(COUNTIFS('Agenda 2026'!$Q$2:$Q$376,DATE(2026,2,25),'Agenda 2026'!$M$2:$M$376,1)&gt;=7,CHAR(10)&amp;IFERROR(INDEX('Agenda 2026'!$B$2:$B$376,MATCH(DATE(2026,2,25)*10+7,'Agenda 2026'!$S$2:$S$376,0)),""),"")&amp;IF(COUNTIFS('Agenda 2026'!$Q$2:$Q$376,DATE(2026,2,25),'Agenda 2026'!$M$2:$M$376,1)&gt;=8,CHAR(10)&amp;IFERROR(INDEX('Agenda 2026'!$B$2:$B$376,MATCH(DATE(2026,2,25)*10+8,'Agenda 2026'!$S$2:$S$376,0)),""),"")&amp;IF(COUNTIFS('Agenda 2026'!$Q$2:$Q$376,DATE(2026,2,25),'Agenda 2026'!$M$2:$M$376,1)&gt;=9,CHAR(10)&amp;IFERROR(INDEX('Agenda 2026'!$B$2:$B$376,MATCH(DATE(2026,2,25)*10+9,'Agenda 2026'!$S$2:$S$376,0)),""),"")&amp;IF(COUNTIFS('Agenda 2026'!$Q$2:$Q$376,DATE(2026,2,25),'Agenda 2026'!$M$2:$M$376,1)&gt;=10,CHAR(10)&amp;IFERROR(INDEX('Agenda 2026'!$B$2:$B$376,MATCH(DATE(2026,2,25)*10+10,'Agenda 2026'!$S$2:$S$376,0)),""),"")&amp;IF(COUNTIFS('Agenda 2026'!$Q$2:$Q$376,DATE(2026,2,25),'Agenda 2026'!$M$2:$M$376,1)&gt;=11,CHAR(10)&amp;IFERROR(INDEX('Agenda 2026'!$B$2:$B$376,MATCH(DATE(2026,2,25)*10+11,'Agenda 2026'!$S$2:$S$376,0)),""),"")&amp;IF(COUNTIFS('Agenda 2026'!$Q$2:$Q$376,DATE(2026,2,25),'Agenda 2026'!$M$2:$M$376,1)&gt;=12,CHAR(10)&amp;IFERROR(INDEX('Agenda 2026'!$B$2:$B$376,MATCH(DATE(2026,2,25)*10+12,'Agenda 2026'!$S$2:$S$376,0)),""),"")</f>
        <v>25</v>
      </c>
      <c r="E23" s="58" t="str">
        <f t="array" ref="E23">26&amp;IF(COUNTIFS('Agenda 2026'!$Q$2:$Q$376,DATE(2026,2,26),'Agenda 2026'!$M$2:$M$376,1)&gt;=1,CHAR(10)&amp;IFERROR(INDEX('Agenda 2026'!$B$2:$B$376,MATCH(DATE(2026,2,26)*10+1,'Agenda 2026'!$S$2:$S$376,0)),""),"")&amp;IF(COUNTIFS('Agenda 2026'!$Q$2:$Q$376,DATE(2026,2,26),'Agenda 2026'!$M$2:$M$376,1)&gt;=2,CHAR(10)&amp;IFERROR(INDEX('Agenda 2026'!$B$2:$B$376,MATCH(DATE(2026,2,26)*10+2,'Agenda 2026'!$S$2:$S$376,0)),""),"")&amp;IF(COUNTIFS('Agenda 2026'!$Q$2:$Q$376,DATE(2026,2,26),'Agenda 2026'!$M$2:$M$376,1)&gt;=3,CHAR(10)&amp;IFERROR(INDEX('Agenda 2026'!$B$2:$B$376,MATCH(DATE(2026,2,26)*10+3,'Agenda 2026'!$S$2:$S$376,0)),""),"")&amp;IF(COUNTIFS('Agenda 2026'!$Q$2:$Q$376,DATE(2026,2,26),'Agenda 2026'!$M$2:$M$376,1)&gt;=4,CHAR(10)&amp;IFERROR(INDEX('Agenda 2026'!$B$2:$B$376,MATCH(DATE(2026,2,26)*10+4,'Agenda 2026'!$S$2:$S$376,0)),""),"")&amp;IF(COUNTIFS('Agenda 2026'!$Q$2:$Q$376,DATE(2026,2,26),'Agenda 2026'!$M$2:$M$376,1)&gt;=5,CHAR(10)&amp;IFERROR(INDEX('Agenda 2026'!$B$2:$B$376,MATCH(DATE(2026,2,26)*10+5,'Agenda 2026'!$S$2:$S$376,0)),""),"")&amp;IF(COUNTIFS('Agenda 2026'!$Q$2:$Q$376,DATE(2026,2,26),'Agenda 2026'!$M$2:$M$376,1)&gt;=6,CHAR(10)&amp;IFERROR(INDEX('Agenda 2026'!$B$2:$B$376,MATCH(DATE(2026,2,26)*10+6,'Agenda 2026'!$S$2:$S$376,0)),""),"")&amp;IF(COUNTIFS('Agenda 2026'!$Q$2:$Q$376,DATE(2026,2,26),'Agenda 2026'!$M$2:$M$376,1)&gt;=7,CHAR(10)&amp;IFERROR(INDEX('Agenda 2026'!$B$2:$B$376,MATCH(DATE(2026,2,26)*10+7,'Agenda 2026'!$S$2:$S$376,0)),""),"")&amp;IF(COUNTIFS('Agenda 2026'!$Q$2:$Q$376,DATE(2026,2,26),'Agenda 2026'!$M$2:$M$376,1)&gt;=8,CHAR(10)&amp;IFERROR(INDEX('Agenda 2026'!$B$2:$B$376,MATCH(DATE(2026,2,26)*10+8,'Agenda 2026'!$S$2:$S$376,0)),""),"")&amp;IF(COUNTIFS('Agenda 2026'!$Q$2:$Q$376,DATE(2026,2,26),'Agenda 2026'!$M$2:$M$376,1)&gt;=9,CHAR(10)&amp;IFERROR(INDEX('Agenda 2026'!$B$2:$B$376,MATCH(DATE(2026,2,26)*10+9,'Agenda 2026'!$S$2:$S$376,0)),""),"")&amp;IF(COUNTIFS('Agenda 2026'!$Q$2:$Q$376,DATE(2026,2,26),'Agenda 2026'!$M$2:$M$376,1)&gt;=10,CHAR(10)&amp;IFERROR(INDEX('Agenda 2026'!$B$2:$B$376,MATCH(DATE(2026,2,26)*10+10,'Agenda 2026'!$S$2:$S$376,0)),""),"")&amp;IF(COUNTIFS('Agenda 2026'!$Q$2:$Q$376,DATE(2026,2,26),'Agenda 2026'!$M$2:$M$376,1)&gt;=11,CHAR(10)&amp;IFERROR(INDEX('Agenda 2026'!$B$2:$B$376,MATCH(DATE(2026,2,26)*10+11,'Agenda 2026'!$S$2:$S$376,0)),""),"")&amp;IF(COUNTIFS('Agenda 2026'!$Q$2:$Q$376,DATE(2026,2,26),'Agenda 2026'!$M$2:$M$376,1)&gt;=12,CHAR(10)&amp;IFERROR(INDEX('Agenda 2026'!$B$2:$B$376,MATCH(DATE(2026,2,26)*10+12,'Agenda 2026'!$S$2:$S$376,0)),""),"")</f>
        <v>26</v>
      </c>
      <c r="F23" s="58" t="str">
        <f t="array" ref="F23">27&amp;IF(COUNTIFS('Agenda 2026'!$Q$2:$Q$376,DATE(2026,2,27),'Agenda 2026'!$M$2:$M$376,1)&gt;=1,CHAR(10)&amp;IFERROR(INDEX('Agenda 2026'!$B$2:$B$376,MATCH(DATE(2026,2,27)*10+1,'Agenda 2026'!$S$2:$S$376,0)),""),"")&amp;IF(COUNTIFS('Agenda 2026'!$Q$2:$Q$376,DATE(2026,2,27),'Agenda 2026'!$M$2:$M$376,1)&gt;=2,CHAR(10)&amp;IFERROR(INDEX('Agenda 2026'!$B$2:$B$376,MATCH(DATE(2026,2,27)*10+2,'Agenda 2026'!$S$2:$S$376,0)),""),"")&amp;IF(COUNTIFS('Agenda 2026'!$Q$2:$Q$376,DATE(2026,2,27),'Agenda 2026'!$M$2:$M$376,1)&gt;=3,CHAR(10)&amp;IFERROR(INDEX('Agenda 2026'!$B$2:$B$376,MATCH(DATE(2026,2,27)*10+3,'Agenda 2026'!$S$2:$S$376,0)),""),"")&amp;IF(COUNTIFS('Agenda 2026'!$Q$2:$Q$376,DATE(2026,2,27),'Agenda 2026'!$M$2:$M$376,1)&gt;=4,CHAR(10)&amp;IFERROR(INDEX('Agenda 2026'!$B$2:$B$376,MATCH(DATE(2026,2,27)*10+4,'Agenda 2026'!$S$2:$S$376,0)),""),"")&amp;IF(COUNTIFS('Agenda 2026'!$Q$2:$Q$376,DATE(2026,2,27),'Agenda 2026'!$M$2:$M$376,1)&gt;=5,CHAR(10)&amp;IFERROR(INDEX('Agenda 2026'!$B$2:$B$376,MATCH(DATE(2026,2,27)*10+5,'Agenda 2026'!$S$2:$S$376,0)),""),"")&amp;IF(COUNTIFS('Agenda 2026'!$Q$2:$Q$376,DATE(2026,2,27),'Agenda 2026'!$M$2:$M$376,1)&gt;=6,CHAR(10)&amp;IFERROR(INDEX('Agenda 2026'!$B$2:$B$376,MATCH(DATE(2026,2,27)*10+6,'Agenda 2026'!$S$2:$S$376,0)),""),"")&amp;IF(COUNTIFS('Agenda 2026'!$Q$2:$Q$376,DATE(2026,2,27),'Agenda 2026'!$M$2:$M$376,1)&gt;=7,CHAR(10)&amp;IFERROR(INDEX('Agenda 2026'!$B$2:$B$376,MATCH(DATE(2026,2,27)*10+7,'Agenda 2026'!$S$2:$S$376,0)),""),"")&amp;IF(COUNTIFS('Agenda 2026'!$Q$2:$Q$376,DATE(2026,2,27),'Agenda 2026'!$M$2:$M$376,1)&gt;=8,CHAR(10)&amp;IFERROR(INDEX('Agenda 2026'!$B$2:$B$376,MATCH(DATE(2026,2,27)*10+8,'Agenda 2026'!$S$2:$S$376,0)),""),"")&amp;IF(COUNTIFS('Agenda 2026'!$Q$2:$Q$376,DATE(2026,2,27),'Agenda 2026'!$M$2:$M$376,1)&gt;=9,CHAR(10)&amp;IFERROR(INDEX('Agenda 2026'!$B$2:$B$376,MATCH(DATE(2026,2,27)*10+9,'Agenda 2026'!$S$2:$S$376,0)),""),"")&amp;IF(COUNTIFS('Agenda 2026'!$Q$2:$Q$376,DATE(2026,2,27),'Agenda 2026'!$M$2:$M$376,1)&gt;=10,CHAR(10)&amp;IFERROR(INDEX('Agenda 2026'!$B$2:$B$376,MATCH(DATE(2026,2,27)*10+10,'Agenda 2026'!$S$2:$S$376,0)),""),"")&amp;IF(COUNTIFS('Agenda 2026'!$Q$2:$Q$376,DATE(2026,2,27),'Agenda 2026'!$M$2:$M$376,1)&gt;=11,CHAR(10)&amp;IFERROR(INDEX('Agenda 2026'!$B$2:$B$376,MATCH(DATE(2026,2,27)*10+11,'Agenda 2026'!$S$2:$S$376,0)),""),"")&amp;IF(COUNTIFS('Agenda 2026'!$Q$2:$Q$376,DATE(2026,2,27),'Agenda 2026'!$M$2:$M$376,1)&gt;=12,CHAR(10)&amp;IFERROR(INDEX('Agenda 2026'!$B$2:$B$376,MATCH(DATE(2026,2,27)*10+12,'Agenda 2026'!$S$2:$S$376,0)),""),"")</f>
        <v>27</v>
      </c>
      <c r="G23" s="58" t="str">
        <f t="array" ref="G23">28&amp;IF(COUNTIFS('Agenda 2026'!$Q$2:$Q$376,DATE(2026,2,28),'Agenda 2026'!$M$2:$M$376,1)&gt;=1,CHAR(10)&amp;IFERROR(INDEX('Agenda 2026'!$B$2:$B$376,MATCH(DATE(2026,2,28)*10+1,'Agenda 2026'!$S$2:$S$376,0)),""),"")&amp;IF(COUNTIFS('Agenda 2026'!$Q$2:$Q$376,DATE(2026,2,28),'Agenda 2026'!$M$2:$M$376,1)&gt;=2,CHAR(10)&amp;IFERROR(INDEX('Agenda 2026'!$B$2:$B$376,MATCH(DATE(2026,2,28)*10+2,'Agenda 2026'!$S$2:$S$376,0)),""),"")&amp;IF(COUNTIFS('Agenda 2026'!$Q$2:$Q$376,DATE(2026,2,28),'Agenda 2026'!$M$2:$M$376,1)&gt;=3,CHAR(10)&amp;IFERROR(INDEX('Agenda 2026'!$B$2:$B$376,MATCH(DATE(2026,2,28)*10+3,'Agenda 2026'!$S$2:$S$376,0)),""),"")&amp;IF(COUNTIFS('Agenda 2026'!$Q$2:$Q$376,DATE(2026,2,28),'Agenda 2026'!$M$2:$M$376,1)&gt;=4,CHAR(10)&amp;IFERROR(INDEX('Agenda 2026'!$B$2:$B$376,MATCH(DATE(2026,2,28)*10+4,'Agenda 2026'!$S$2:$S$376,0)),""),"")&amp;IF(COUNTIFS('Agenda 2026'!$Q$2:$Q$376,DATE(2026,2,28),'Agenda 2026'!$M$2:$M$376,1)&gt;=5,CHAR(10)&amp;IFERROR(INDEX('Agenda 2026'!$B$2:$B$376,MATCH(DATE(2026,2,28)*10+5,'Agenda 2026'!$S$2:$S$376,0)),""),"")&amp;IF(COUNTIFS('Agenda 2026'!$Q$2:$Q$376,DATE(2026,2,28),'Agenda 2026'!$M$2:$M$376,1)&gt;=6,CHAR(10)&amp;IFERROR(INDEX('Agenda 2026'!$B$2:$B$376,MATCH(DATE(2026,2,28)*10+6,'Agenda 2026'!$S$2:$S$376,0)),""),"")&amp;IF(COUNTIFS('Agenda 2026'!$Q$2:$Q$376,DATE(2026,2,28),'Agenda 2026'!$M$2:$M$376,1)&gt;=7,CHAR(10)&amp;IFERROR(INDEX('Agenda 2026'!$B$2:$B$376,MATCH(DATE(2026,2,28)*10+7,'Agenda 2026'!$S$2:$S$376,0)),""),"")&amp;IF(COUNTIFS('Agenda 2026'!$Q$2:$Q$376,DATE(2026,2,28),'Agenda 2026'!$M$2:$M$376,1)&gt;=8,CHAR(10)&amp;IFERROR(INDEX('Agenda 2026'!$B$2:$B$376,MATCH(DATE(2026,2,28)*10+8,'Agenda 2026'!$S$2:$S$376,0)),""),"")&amp;IF(COUNTIFS('Agenda 2026'!$Q$2:$Q$376,DATE(2026,2,28),'Agenda 2026'!$M$2:$M$376,1)&gt;=9,CHAR(10)&amp;IFERROR(INDEX('Agenda 2026'!$B$2:$B$376,MATCH(DATE(2026,2,28)*10+9,'Agenda 2026'!$S$2:$S$376,0)),""),"")&amp;IF(COUNTIFS('Agenda 2026'!$Q$2:$Q$376,DATE(2026,2,28),'Agenda 2026'!$M$2:$M$376,1)&gt;=10,CHAR(10)&amp;IFERROR(INDEX('Agenda 2026'!$B$2:$B$376,MATCH(DATE(2026,2,28)*10+10,'Agenda 2026'!$S$2:$S$376,0)),""),"")&amp;IF(COUNTIFS('Agenda 2026'!$Q$2:$Q$376,DATE(2026,2,28),'Agenda 2026'!$M$2:$M$376,1)&gt;=11,CHAR(10)&amp;IFERROR(INDEX('Agenda 2026'!$B$2:$B$376,MATCH(DATE(2026,2,28)*10+11,'Agenda 2026'!$S$2:$S$376,0)),""),"")&amp;IF(COUNTIFS('Agenda 2026'!$Q$2:$Q$376,DATE(2026,2,28),'Agenda 2026'!$M$2:$M$376,1)&gt;=12,CHAR(10)&amp;IFERROR(INDEX('Agenda 2026'!$B$2:$B$376,MATCH(DATE(2026,2,28)*10+12,'Agenda 2026'!$S$2:$S$376,0)),""),"")</f>
        <v>28</v>
      </c>
      <c r="H23" s="57"/>
    </row>
    <row r="24" spans="1:8" ht="21.75" customHeight="1" x14ac:dyDescent="0.35">
      <c r="A24" s="17"/>
      <c r="B24" s="57"/>
      <c r="C24" s="57"/>
      <c r="D24" s="57"/>
      <c r="E24" s="57"/>
      <c r="F24" s="57"/>
      <c r="G24" s="57"/>
      <c r="H24" s="57"/>
    </row>
    <row r="25" spans="1:8" ht="21.75" customHeight="1" x14ac:dyDescent="0.35">
      <c r="A25" s="17"/>
      <c r="B25" s="59"/>
      <c r="C25" s="59"/>
      <c r="D25" s="59"/>
      <c r="E25" s="59"/>
      <c r="F25" s="59"/>
      <c r="G25" s="59"/>
      <c r="H25" s="59"/>
    </row>
    <row r="26" spans="1:8" ht="21.75" customHeight="1" x14ac:dyDescent="0.35">
      <c r="A26" s="17"/>
      <c r="B26" s="10" t="s">
        <v>66</v>
      </c>
      <c r="C26" s="10"/>
      <c r="D26" s="10"/>
      <c r="E26" s="10"/>
      <c r="F26" s="10"/>
      <c r="G26" s="10"/>
      <c r="H26" s="10"/>
    </row>
    <row r="27" spans="1:8" ht="15.75" customHeight="1" x14ac:dyDescent="0.35">
      <c r="A27" s="17"/>
      <c r="B27" s="56" t="s">
        <v>58</v>
      </c>
      <c r="C27" s="56" t="s">
        <v>59</v>
      </c>
      <c r="D27" s="56" t="s">
        <v>60</v>
      </c>
      <c r="E27" s="56" t="s">
        <v>61</v>
      </c>
      <c r="F27" s="56" t="s">
        <v>62</v>
      </c>
      <c r="G27" s="56" t="s">
        <v>63</v>
      </c>
      <c r="H27" s="56" t="s">
        <v>64</v>
      </c>
    </row>
    <row r="28" spans="1:8" ht="33.75" customHeight="1" x14ac:dyDescent="0.35">
      <c r="A28" s="17"/>
      <c r="B28" s="57"/>
      <c r="C28" s="57"/>
      <c r="D28" s="57"/>
      <c r="E28" s="57"/>
      <c r="F28" s="57"/>
      <c r="G28" s="57"/>
      <c r="H28" s="58" t="str">
        <f t="array" ref="H28">1&amp;IF(COUNTIFS('Agenda 2026'!$Q$2:$Q$376,DATE(2026,3,1),'Agenda 2026'!$M$2:$M$376,1)&gt;=1,CHAR(10)&amp;IFERROR(INDEX('Agenda 2026'!$B$2:$B$376,MATCH(DATE(2026,3,1)*10+1,'Agenda 2026'!$S$2:$S$376,0)),""),"")&amp;IF(COUNTIFS('Agenda 2026'!$Q$2:$Q$376,DATE(2026,3,1),'Agenda 2026'!$M$2:$M$376,1)&gt;=2,CHAR(10)&amp;IFERROR(INDEX('Agenda 2026'!$B$2:$B$376,MATCH(DATE(2026,3,1)*10+2,'Agenda 2026'!$S$2:$S$376,0)),""),"")&amp;IF(COUNTIFS('Agenda 2026'!$Q$2:$Q$376,DATE(2026,3,1),'Agenda 2026'!$M$2:$M$376,1)&gt;=3,CHAR(10)&amp;IFERROR(INDEX('Agenda 2026'!$B$2:$B$376,MATCH(DATE(2026,3,1)*10+3,'Agenda 2026'!$S$2:$S$376,0)),""),"")&amp;IF(COUNTIFS('Agenda 2026'!$Q$2:$Q$376,DATE(2026,3,1),'Agenda 2026'!$M$2:$M$376,1)&gt;=4,CHAR(10)&amp;IFERROR(INDEX('Agenda 2026'!$B$2:$B$376,MATCH(DATE(2026,3,1)*10+4,'Agenda 2026'!$S$2:$S$376,0)),""),"")&amp;IF(COUNTIFS('Agenda 2026'!$Q$2:$Q$376,DATE(2026,3,1),'Agenda 2026'!$M$2:$M$376,1)&gt;=5,CHAR(10)&amp;IFERROR(INDEX('Agenda 2026'!$B$2:$B$376,MATCH(DATE(2026,3,1)*10+5,'Agenda 2026'!$S$2:$S$376,0)),""),"")&amp;IF(COUNTIFS('Agenda 2026'!$Q$2:$Q$376,DATE(2026,3,1),'Agenda 2026'!$M$2:$M$376,1)&gt;=6,CHAR(10)&amp;IFERROR(INDEX('Agenda 2026'!$B$2:$B$376,MATCH(DATE(2026,3,1)*10+6,'Agenda 2026'!$S$2:$S$376,0)),""),"")&amp;IF(COUNTIFS('Agenda 2026'!$Q$2:$Q$376,DATE(2026,3,1),'Agenda 2026'!$M$2:$M$376,1)&gt;=7,CHAR(10)&amp;IFERROR(INDEX('Agenda 2026'!$B$2:$B$376,MATCH(DATE(2026,3,1)*10+7,'Agenda 2026'!$S$2:$S$376,0)),""),"")&amp;IF(COUNTIFS('Agenda 2026'!$Q$2:$Q$376,DATE(2026,3,1),'Agenda 2026'!$M$2:$M$376,1)&gt;=8,CHAR(10)&amp;IFERROR(INDEX('Agenda 2026'!$B$2:$B$376,MATCH(DATE(2026,3,1)*10+8,'Agenda 2026'!$S$2:$S$376,0)),""),"")&amp;IF(COUNTIFS('Agenda 2026'!$Q$2:$Q$376,DATE(2026,3,1),'Agenda 2026'!$M$2:$M$376,1)&gt;=9,CHAR(10)&amp;IFERROR(INDEX('Agenda 2026'!$B$2:$B$376,MATCH(DATE(2026,3,1)*10+9,'Agenda 2026'!$S$2:$S$376,0)),""),"")&amp;IF(COUNTIFS('Agenda 2026'!$Q$2:$Q$376,DATE(2026,3,1),'Agenda 2026'!$M$2:$M$376,1)&gt;=10,CHAR(10)&amp;IFERROR(INDEX('Agenda 2026'!$B$2:$B$376,MATCH(DATE(2026,3,1)*10+10,'Agenda 2026'!$S$2:$S$376,0)),""),"")&amp;IF(COUNTIFS('Agenda 2026'!$Q$2:$Q$376,DATE(2026,3,1),'Agenda 2026'!$M$2:$M$376,1)&gt;=11,CHAR(10)&amp;IFERROR(INDEX('Agenda 2026'!$B$2:$B$376,MATCH(DATE(2026,3,1)*10+11,'Agenda 2026'!$S$2:$S$376,0)),""),"")&amp;IF(COUNTIFS('Agenda 2026'!$Q$2:$Q$376,DATE(2026,3,1),'Agenda 2026'!$M$2:$M$376,1)&gt;=12,CHAR(10)&amp;IFERROR(INDEX('Agenda 2026'!$B$2:$B$376,MATCH(DATE(2026,3,1)*10+12,'Agenda 2026'!$S$2:$S$376,0)),""),"")</f>
        <v>1</v>
      </c>
    </row>
    <row r="29" spans="1:8" ht="45.75" customHeight="1" x14ac:dyDescent="0.35">
      <c r="A29" s="17"/>
      <c r="B29" s="58" t="str">
        <f t="array" ref="B29">2&amp;IF(COUNTIFS('Agenda 2026'!$Q$2:$Q$376,DATE(2026,3,2),'Agenda 2026'!$M$2:$M$376,1)&gt;=1,CHAR(10)&amp;IFERROR(INDEX('Agenda 2026'!$B$2:$B$376,MATCH(DATE(2026,3,2)*10+1,'Agenda 2026'!$S$2:$S$376,0)),""),"")&amp;IF(COUNTIFS('Agenda 2026'!$Q$2:$Q$376,DATE(2026,3,2),'Agenda 2026'!$M$2:$M$376,1)&gt;=2,CHAR(10)&amp;IFERROR(INDEX('Agenda 2026'!$B$2:$B$376,MATCH(DATE(2026,3,2)*10+2,'Agenda 2026'!$S$2:$S$376,0)),""),"")&amp;IF(COUNTIFS('Agenda 2026'!$Q$2:$Q$376,DATE(2026,3,2),'Agenda 2026'!$M$2:$M$376,1)&gt;=3,CHAR(10)&amp;IFERROR(INDEX('Agenda 2026'!$B$2:$B$376,MATCH(DATE(2026,3,2)*10+3,'Agenda 2026'!$S$2:$S$376,0)),""),"")&amp;IF(COUNTIFS('Agenda 2026'!$Q$2:$Q$376,DATE(2026,3,2),'Agenda 2026'!$M$2:$M$376,1)&gt;=4,CHAR(10)&amp;IFERROR(INDEX('Agenda 2026'!$B$2:$B$376,MATCH(DATE(2026,3,2)*10+4,'Agenda 2026'!$S$2:$S$376,0)),""),"")&amp;IF(COUNTIFS('Agenda 2026'!$Q$2:$Q$376,DATE(2026,3,2),'Agenda 2026'!$M$2:$M$376,1)&gt;=5,CHAR(10)&amp;IFERROR(INDEX('Agenda 2026'!$B$2:$B$376,MATCH(DATE(2026,3,2)*10+5,'Agenda 2026'!$S$2:$S$376,0)),""),"")&amp;IF(COUNTIFS('Agenda 2026'!$Q$2:$Q$376,DATE(2026,3,2),'Agenda 2026'!$M$2:$M$376,1)&gt;=6,CHAR(10)&amp;IFERROR(INDEX('Agenda 2026'!$B$2:$B$376,MATCH(DATE(2026,3,2)*10+6,'Agenda 2026'!$S$2:$S$376,0)),""),"")&amp;IF(COUNTIFS('Agenda 2026'!$Q$2:$Q$376,DATE(2026,3,2),'Agenda 2026'!$M$2:$M$376,1)&gt;=7,CHAR(10)&amp;IFERROR(INDEX('Agenda 2026'!$B$2:$B$376,MATCH(DATE(2026,3,2)*10+7,'Agenda 2026'!$S$2:$S$376,0)),""),"")&amp;IF(COUNTIFS('Agenda 2026'!$Q$2:$Q$376,DATE(2026,3,2),'Agenda 2026'!$M$2:$M$376,1)&gt;=8,CHAR(10)&amp;IFERROR(INDEX('Agenda 2026'!$B$2:$B$376,MATCH(DATE(2026,3,2)*10+8,'Agenda 2026'!$S$2:$S$376,0)),""),"")&amp;IF(COUNTIFS('Agenda 2026'!$Q$2:$Q$376,DATE(2026,3,2),'Agenda 2026'!$M$2:$M$376,1)&gt;=9,CHAR(10)&amp;IFERROR(INDEX('Agenda 2026'!$B$2:$B$376,MATCH(DATE(2026,3,2)*10+9,'Agenda 2026'!$S$2:$S$376,0)),""),"")&amp;IF(COUNTIFS('Agenda 2026'!$Q$2:$Q$376,DATE(2026,3,2),'Agenda 2026'!$M$2:$M$376,1)&gt;=10,CHAR(10)&amp;IFERROR(INDEX('Agenda 2026'!$B$2:$B$376,MATCH(DATE(2026,3,2)*10+10,'Agenda 2026'!$S$2:$S$376,0)),""),"")&amp;IF(COUNTIFS('Agenda 2026'!$Q$2:$Q$376,DATE(2026,3,2),'Agenda 2026'!$M$2:$M$376,1)&gt;=11,CHAR(10)&amp;IFERROR(INDEX('Agenda 2026'!$B$2:$B$376,MATCH(DATE(2026,3,2)*10+11,'Agenda 2026'!$S$2:$S$376,0)),""),"")&amp;IF(COUNTIFS('Agenda 2026'!$Q$2:$Q$376,DATE(2026,3,2),'Agenda 2026'!$M$2:$M$376,1)&gt;=12,CHAR(10)&amp;IFERROR(INDEX('Agenda 2026'!$B$2:$B$376,MATCH(DATE(2026,3,2)*10+12,'Agenda 2026'!$S$2:$S$376,0)),""),"")</f>
        <v>2</v>
      </c>
      <c r="C29" s="58" t="str">
        <f t="array" ref="C29">3&amp;IF(COUNTIFS('Agenda 2026'!$Q$2:$Q$376,DATE(2026,3,3),'Agenda 2026'!$M$2:$M$376,1)&gt;=1,CHAR(10)&amp;IFERROR(INDEX('Agenda 2026'!$B$2:$B$376,MATCH(DATE(2026,3,3)*10+1,'Agenda 2026'!$S$2:$S$376,0)),""),"")&amp;IF(COUNTIFS('Agenda 2026'!$Q$2:$Q$376,DATE(2026,3,3),'Agenda 2026'!$M$2:$M$376,1)&gt;=2,CHAR(10)&amp;IFERROR(INDEX('Agenda 2026'!$B$2:$B$376,MATCH(DATE(2026,3,3)*10+2,'Agenda 2026'!$S$2:$S$376,0)),""),"")&amp;IF(COUNTIFS('Agenda 2026'!$Q$2:$Q$376,DATE(2026,3,3),'Agenda 2026'!$M$2:$M$376,1)&gt;=3,CHAR(10)&amp;IFERROR(INDEX('Agenda 2026'!$B$2:$B$376,MATCH(DATE(2026,3,3)*10+3,'Agenda 2026'!$S$2:$S$376,0)),""),"")&amp;IF(COUNTIFS('Agenda 2026'!$Q$2:$Q$376,DATE(2026,3,3),'Agenda 2026'!$M$2:$M$376,1)&gt;=4,CHAR(10)&amp;IFERROR(INDEX('Agenda 2026'!$B$2:$B$376,MATCH(DATE(2026,3,3)*10+4,'Agenda 2026'!$S$2:$S$376,0)),""),"")&amp;IF(COUNTIFS('Agenda 2026'!$Q$2:$Q$376,DATE(2026,3,3),'Agenda 2026'!$M$2:$M$376,1)&gt;=5,CHAR(10)&amp;IFERROR(INDEX('Agenda 2026'!$B$2:$B$376,MATCH(DATE(2026,3,3)*10+5,'Agenda 2026'!$S$2:$S$376,0)),""),"")&amp;IF(COUNTIFS('Agenda 2026'!$Q$2:$Q$376,DATE(2026,3,3),'Agenda 2026'!$M$2:$M$376,1)&gt;=6,CHAR(10)&amp;IFERROR(INDEX('Agenda 2026'!$B$2:$B$376,MATCH(DATE(2026,3,3)*10+6,'Agenda 2026'!$S$2:$S$376,0)),""),"")&amp;IF(COUNTIFS('Agenda 2026'!$Q$2:$Q$376,DATE(2026,3,3),'Agenda 2026'!$M$2:$M$376,1)&gt;=7,CHAR(10)&amp;IFERROR(INDEX('Agenda 2026'!$B$2:$B$376,MATCH(DATE(2026,3,3)*10+7,'Agenda 2026'!$S$2:$S$376,0)),""),"")&amp;IF(COUNTIFS('Agenda 2026'!$Q$2:$Q$376,DATE(2026,3,3),'Agenda 2026'!$M$2:$M$376,1)&gt;=8,CHAR(10)&amp;IFERROR(INDEX('Agenda 2026'!$B$2:$B$376,MATCH(DATE(2026,3,3)*10+8,'Agenda 2026'!$S$2:$S$376,0)),""),"")&amp;IF(COUNTIFS('Agenda 2026'!$Q$2:$Q$376,DATE(2026,3,3),'Agenda 2026'!$M$2:$M$376,1)&gt;=9,CHAR(10)&amp;IFERROR(INDEX('Agenda 2026'!$B$2:$B$376,MATCH(DATE(2026,3,3)*10+9,'Agenda 2026'!$S$2:$S$376,0)),""),"")&amp;IF(COUNTIFS('Agenda 2026'!$Q$2:$Q$376,DATE(2026,3,3),'Agenda 2026'!$M$2:$M$376,1)&gt;=10,CHAR(10)&amp;IFERROR(INDEX('Agenda 2026'!$B$2:$B$376,MATCH(DATE(2026,3,3)*10+10,'Agenda 2026'!$S$2:$S$376,0)),""),"")&amp;IF(COUNTIFS('Agenda 2026'!$Q$2:$Q$376,DATE(2026,3,3),'Agenda 2026'!$M$2:$M$376,1)&gt;=11,CHAR(10)&amp;IFERROR(INDEX('Agenda 2026'!$B$2:$B$376,MATCH(DATE(2026,3,3)*10+11,'Agenda 2026'!$S$2:$S$376,0)),""),"")&amp;IF(COUNTIFS('Agenda 2026'!$Q$2:$Q$376,DATE(2026,3,3),'Agenda 2026'!$M$2:$M$376,1)&gt;=12,CHAR(10)&amp;IFERROR(INDEX('Agenda 2026'!$B$2:$B$376,MATCH(DATE(2026,3,3)*10+12,'Agenda 2026'!$S$2:$S$376,0)),""),"")</f>
        <v>3</v>
      </c>
      <c r="D29" s="58" t="str">
        <f t="array" ref="D29">4&amp;IF(COUNTIFS('Agenda 2026'!$Q$2:$Q$376,DATE(2026,3,4),'Agenda 2026'!$M$2:$M$376,1)&gt;=1,CHAR(10)&amp;IFERROR(INDEX('Agenda 2026'!$B$2:$B$376,MATCH(DATE(2026,3,4)*10+1,'Agenda 2026'!$S$2:$S$376,0)),""),"")&amp;IF(COUNTIFS('Agenda 2026'!$Q$2:$Q$376,DATE(2026,3,4),'Agenda 2026'!$M$2:$M$376,1)&gt;=2,CHAR(10)&amp;IFERROR(INDEX('Agenda 2026'!$B$2:$B$376,MATCH(DATE(2026,3,4)*10+2,'Agenda 2026'!$S$2:$S$376,0)),""),"")&amp;IF(COUNTIFS('Agenda 2026'!$Q$2:$Q$376,DATE(2026,3,4),'Agenda 2026'!$M$2:$M$376,1)&gt;=3,CHAR(10)&amp;IFERROR(INDEX('Agenda 2026'!$B$2:$B$376,MATCH(DATE(2026,3,4)*10+3,'Agenda 2026'!$S$2:$S$376,0)),""),"")&amp;IF(COUNTIFS('Agenda 2026'!$Q$2:$Q$376,DATE(2026,3,4),'Agenda 2026'!$M$2:$M$376,1)&gt;=4,CHAR(10)&amp;IFERROR(INDEX('Agenda 2026'!$B$2:$B$376,MATCH(DATE(2026,3,4)*10+4,'Agenda 2026'!$S$2:$S$376,0)),""),"")&amp;IF(COUNTIFS('Agenda 2026'!$Q$2:$Q$376,DATE(2026,3,4),'Agenda 2026'!$M$2:$M$376,1)&gt;=5,CHAR(10)&amp;IFERROR(INDEX('Agenda 2026'!$B$2:$B$376,MATCH(DATE(2026,3,4)*10+5,'Agenda 2026'!$S$2:$S$376,0)),""),"")&amp;IF(COUNTIFS('Agenda 2026'!$Q$2:$Q$376,DATE(2026,3,4),'Agenda 2026'!$M$2:$M$376,1)&gt;=6,CHAR(10)&amp;IFERROR(INDEX('Agenda 2026'!$B$2:$B$376,MATCH(DATE(2026,3,4)*10+6,'Agenda 2026'!$S$2:$S$376,0)),""),"")&amp;IF(COUNTIFS('Agenda 2026'!$Q$2:$Q$376,DATE(2026,3,4),'Agenda 2026'!$M$2:$M$376,1)&gt;=7,CHAR(10)&amp;IFERROR(INDEX('Agenda 2026'!$B$2:$B$376,MATCH(DATE(2026,3,4)*10+7,'Agenda 2026'!$S$2:$S$376,0)),""),"")&amp;IF(COUNTIFS('Agenda 2026'!$Q$2:$Q$376,DATE(2026,3,4),'Agenda 2026'!$M$2:$M$376,1)&gt;=8,CHAR(10)&amp;IFERROR(INDEX('Agenda 2026'!$B$2:$B$376,MATCH(DATE(2026,3,4)*10+8,'Agenda 2026'!$S$2:$S$376,0)),""),"")&amp;IF(COUNTIFS('Agenda 2026'!$Q$2:$Q$376,DATE(2026,3,4),'Agenda 2026'!$M$2:$M$376,1)&gt;=9,CHAR(10)&amp;IFERROR(INDEX('Agenda 2026'!$B$2:$B$376,MATCH(DATE(2026,3,4)*10+9,'Agenda 2026'!$S$2:$S$376,0)),""),"")&amp;IF(COUNTIFS('Agenda 2026'!$Q$2:$Q$376,DATE(2026,3,4),'Agenda 2026'!$M$2:$M$376,1)&gt;=10,CHAR(10)&amp;IFERROR(INDEX('Agenda 2026'!$B$2:$B$376,MATCH(DATE(2026,3,4)*10+10,'Agenda 2026'!$S$2:$S$376,0)),""),"")&amp;IF(COUNTIFS('Agenda 2026'!$Q$2:$Q$376,DATE(2026,3,4),'Agenda 2026'!$M$2:$M$376,1)&gt;=11,CHAR(10)&amp;IFERROR(INDEX('Agenda 2026'!$B$2:$B$376,MATCH(DATE(2026,3,4)*10+11,'Agenda 2026'!$S$2:$S$376,0)),""),"")&amp;IF(COUNTIFS('Agenda 2026'!$Q$2:$Q$376,DATE(2026,3,4),'Agenda 2026'!$M$2:$M$376,1)&gt;=12,CHAR(10)&amp;IFERROR(INDEX('Agenda 2026'!$B$2:$B$376,MATCH(DATE(2026,3,4)*10+12,'Agenda 2026'!$S$2:$S$376,0)),""),"")</f>
        <v>4</v>
      </c>
      <c r="E29" s="58" t="str">
        <f t="array" ref="E29">5&amp;IF(COUNTIFS('Agenda 2026'!$Q$2:$Q$376,DATE(2026,3,5),'Agenda 2026'!$M$2:$M$376,1)&gt;=1,CHAR(10)&amp;IFERROR(INDEX('Agenda 2026'!$B$2:$B$376,MATCH(DATE(2026,3,5)*10+1,'Agenda 2026'!$S$2:$S$376,0)),""),"")&amp;IF(COUNTIFS('Agenda 2026'!$Q$2:$Q$376,DATE(2026,3,5),'Agenda 2026'!$M$2:$M$376,1)&gt;=2,CHAR(10)&amp;IFERROR(INDEX('Agenda 2026'!$B$2:$B$376,MATCH(DATE(2026,3,5)*10+2,'Agenda 2026'!$S$2:$S$376,0)),""),"")&amp;IF(COUNTIFS('Agenda 2026'!$Q$2:$Q$376,DATE(2026,3,5),'Agenda 2026'!$M$2:$M$376,1)&gt;=3,CHAR(10)&amp;IFERROR(INDEX('Agenda 2026'!$B$2:$B$376,MATCH(DATE(2026,3,5)*10+3,'Agenda 2026'!$S$2:$S$376,0)),""),"")&amp;IF(COUNTIFS('Agenda 2026'!$Q$2:$Q$376,DATE(2026,3,5),'Agenda 2026'!$M$2:$M$376,1)&gt;=4,CHAR(10)&amp;IFERROR(INDEX('Agenda 2026'!$B$2:$B$376,MATCH(DATE(2026,3,5)*10+4,'Agenda 2026'!$S$2:$S$376,0)),""),"")&amp;IF(COUNTIFS('Agenda 2026'!$Q$2:$Q$376,DATE(2026,3,5),'Agenda 2026'!$M$2:$M$376,1)&gt;=5,CHAR(10)&amp;IFERROR(INDEX('Agenda 2026'!$B$2:$B$376,MATCH(DATE(2026,3,5)*10+5,'Agenda 2026'!$S$2:$S$376,0)),""),"")&amp;IF(COUNTIFS('Agenda 2026'!$Q$2:$Q$376,DATE(2026,3,5),'Agenda 2026'!$M$2:$M$376,1)&gt;=6,CHAR(10)&amp;IFERROR(INDEX('Agenda 2026'!$B$2:$B$376,MATCH(DATE(2026,3,5)*10+6,'Agenda 2026'!$S$2:$S$376,0)),""),"")&amp;IF(COUNTIFS('Agenda 2026'!$Q$2:$Q$376,DATE(2026,3,5),'Agenda 2026'!$M$2:$M$376,1)&gt;=7,CHAR(10)&amp;IFERROR(INDEX('Agenda 2026'!$B$2:$B$376,MATCH(DATE(2026,3,5)*10+7,'Agenda 2026'!$S$2:$S$376,0)),""),"")&amp;IF(COUNTIFS('Agenda 2026'!$Q$2:$Q$376,DATE(2026,3,5),'Agenda 2026'!$M$2:$M$376,1)&gt;=8,CHAR(10)&amp;IFERROR(INDEX('Agenda 2026'!$B$2:$B$376,MATCH(DATE(2026,3,5)*10+8,'Agenda 2026'!$S$2:$S$376,0)),""),"")&amp;IF(COUNTIFS('Agenda 2026'!$Q$2:$Q$376,DATE(2026,3,5),'Agenda 2026'!$M$2:$M$376,1)&gt;=9,CHAR(10)&amp;IFERROR(INDEX('Agenda 2026'!$B$2:$B$376,MATCH(DATE(2026,3,5)*10+9,'Agenda 2026'!$S$2:$S$376,0)),""),"")&amp;IF(COUNTIFS('Agenda 2026'!$Q$2:$Q$376,DATE(2026,3,5),'Agenda 2026'!$M$2:$M$376,1)&gt;=10,CHAR(10)&amp;IFERROR(INDEX('Agenda 2026'!$B$2:$B$376,MATCH(DATE(2026,3,5)*10+10,'Agenda 2026'!$S$2:$S$376,0)),""),"")&amp;IF(COUNTIFS('Agenda 2026'!$Q$2:$Q$376,DATE(2026,3,5),'Agenda 2026'!$M$2:$M$376,1)&gt;=11,CHAR(10)&amp;IFERROR(INDEX('Agenda 2026'!$B$2:$B$376,MATCH(DATE(2026,3,5)*10+11,'Agenda 2026'!$S$2:$S$376,0)),""),"")&amp;IF(COUNTIFS('Agenda 2026'!$Q$2:$Q$376,DATE(2026,3,5),'Agenda 2026'!$M$2:$M$376,1)&gt;=12,CHAR(10)&amp;IFERROR(INDEX('Agenda 2026'!$B$2:$B$376,MATCH(DATE(2026,3,5)*10+12,'Agenda 2026'!$S$2:$S$376,0)),""),"")</f>
        <v>5</v>
      </c>
      <c r="F29" s="58" t="str">
        <f t="array" ref="F29">6&amp;IF(COUNTIFS('Agenda 2026'!$Q$2:$Q$376,DATE(2026,3,6),'Agenda 2026'!$M$2:$M$376,1)&gt;=1,CHAR(10)&amp;IFERROR(INDEX('Agenda 2026'!$B$2:$B$376,MATCH(DATE(2026,3,6)*10+1,'Agenda 2026'!$S$2:$S$376,0)),""),"")&amp;IF(COUNTIFS('Agenda 2026'!$Q$2:$Q$376,DATE(2026,3,6),'Agenda 2026'!$M$2:$M$376,1)&gt;=2,CHAR(10)&amp;IFERROR(INDEX('Agenda 2026'!$B$2:$B$376,MATCH(DATE(2026,3,6)*10+2,'Agenda 2026'!$S$2:$S$376,0)),""),"")&amp;IF(COUNTIFS('Agenda 2026'!$Q$2:$Q$376,DATE(2026,3,6),'Agenda 2026'!$M$2:$M$376,1)&gt;=3,CHAR(10)&amp;IFERROR(INDEX('Agenda 2026'!$B$2:$B$376,MATCH(DATE(2026,3,6)*10+3,'Agenda 2026'!$S$2:$S$376,0)),""),"")&amp;IF(COUNTIFS('Agenda 2026'!$Q$2:$Q$376,DATE(2026,3,6),'Agenda 2026'!$M$2:$M$376,1)&gt;=4,CHAR(10)&amp;IFERROR(INDEX('Agenda 2026'!$B$2:$B$376,MATCH(DATE(2026,3,6)*10+4,'Agenda 2026'!$S$2:$S$376,0)),""),"")&amp;IF(COUNTIFS('Agenda 2026'!$Q$2:$Q$376,DATE(2026,3,6),'Agenda 2026'!$M$2:$M$376,1)&gt;=5,CHAR(10)&amp;IFERROR(INDEX('Agenda 2026'!$B$2:$B$376,MATCH(DATE(2026,3,6)*10+5,'Agenda 2026'!$S$2:$S$376,0)),""),"")&amp;IF(COUNTIFS('Agenda 2026'!$Q$2:$Q$376,DATE(2026,3,6),'Agenda 2026'!$M$2:$M$376,1)&gt;=6,CHAR(10)&amp;IFERROR(INDEX('Agenda 2026'!$B$2:$B$376,MATCH(DATE(2026,3,6)*10+6,'Agenda 2026'!$S$2:$S$376,0)),""),"")&amp;IF(COUNTIFS('Agenda 2026'!$Q$2:$Q$376,DATE(2026,3,6),'Agenda 2026'!$M$2:$M$376,1)&gt;=7,CHAR(10)&amp;IFERROR(INDEX('Agenda 2026'!$B$2:$B$376,MATCH(DATE(2026,3,6)*10+7,'Agenda 2026'!$S$2:$S$376,0)),""),"")&amp;IF(COUNTIFS('Agenda 2026'!$Q$2:$Q$376,DATE(2026,3,6),'Agenda 2026'!$M$2:$M$376,1)&gt;=8,CHAR(10)&amp;IFERROR(INDEX('Agenda 2026'!$B$2:$B$376,MATCH(DATE(2026,3,6)*10+8,'Agenda 2026'!$S$2:$S$376,0)),""),"")&amp;IF(COUNTIFS('Agenda 2026'!$Q$2:$Q$376,DATE(2026,3,6),'Agenda 2026'!$M$2:$M$376,1)&gt;=9,CHAR(10)&amp;IFERROR(INDEX('Agenda 2026'!$B$2:$B$376,MATCH(DATE(2026,3,6)*10+9,'Agenda 2026'!$S$2:$S$376,0)),""),"")&amp;IF(COUNTIFS('Agenda 2026'!$Q$2:$Q$376,DATE(2026,3,6),'Agenda 2026'!$M$2:$M$376,1)&gt;=10,CHAR(10)&amp;IFERROR(INDEX('Agenda 2026'!$B$2:$B$376,MATCH(DATE(2026,3,6)*10+10,'Agenda 2026'!$S$2:$S$376,0)),""),"")&amp;IF(COUNTIFS('Agenda 2026'!$Q$2:$Q$376,DATE(2026,3,6),'Agenda 2026'!$M$2:$M$376,1)&gt;=11,CHAR(10)&amp;IFERROR(INDEX('Agenda 2026'!$B$2:$B$376,MATCH(DATE(2026,3,6)*10+11,'Agenda 2026'!$S$2:$S$376,0)),""),"")&amp;IF(COUNTIFS('Agenda 2026'!$Q$2:$Q$376,DATE(2026,3,6),'Agenda 2026'!$M$2:$M$376,1)&gt;=12,CHAR(10)&amp;IFERROR(INDEX('Agenda 2026'!$B$2:$B$376,MATCH(DATE(2026,3,6)*10+12,'Agenda 2026'!$S$2:$S$376,0)),""),"")</f>
        <v>6</v>
      </c>
      <c r="G29" s="58" t="str">
        <f t="array" ref="G29">7&amp;IF(COUNTIFS('Agenda 2026'!$Q$2:$Q$376,DATE(2026,3,7),'Agenda 2026'!$M$2:$M$376,1)&gt;=1,CHAR(10)&amp;IFERROR(INDEX('Agenda 2026'!$B$2:$B$376,MATCH(DATE(2026,3,7)*10+1,'Agenda 2026'!$S$2:$S$376,0)),""),"")&amp;IF(COUNTIFS('Agenda 2026'!$Q$2:$Q$376,DATE(2026,3,7),'Agenda 2026'!$M$2:$M$376,1)&gt;=2,CHAR(10)&amp;IFERROR(INDEX('Agenda 2026'!$B$2:$B$376,MATCH(DATE(2026,3,7)*10+2,'Agenda 2026'!$S$2:$S$376,0)),""),"")&amp;IF(COUNTIFS('Agenda 2026'!$Q$2:$Q$376,DATE(2026,3,7),'Agenda 2026'!$M$2:$M$376,1)&gt;=3,CHAR(10)&amp;IFERROR(INDEX('Agenda 2026'!$B$2:$B$376,MATCH(DATE(2026,3,7)*10+3,'Agenda 2026'!$S$2:$S$376,0)),""),"")&amp;IF(COUNTIFS('Agenda 2026'!$Q$2:$Q$376,DATE(2026,3,7),'Agenda 2026'!$M$2:$M$376,1)&gt;=4,CHAR(10)&amp;IFERROR(INDEX('Agenda 2026'!$B$2:$B$376,MATCH(DATE(2026,3,7)*10+4,'Agenda 2026'!$S$2:$S$376,0)),""),"")&amp;IF(COUNTIFS('Agenda 2026'!$Q$2:$Q$376,DATE(2026,3,7),'Agenda 2026'!$M$2:$M$376,1)&gt;=5,CHAR(10)&amp;IFERROR(INDEX('Agenda 2026'!$B$2:$B$376,MATCH(DATE(2026,3,7)*10+5,'Agenda 2026'!$S$2:$S$376,0)),""),"")&amp;IF(COUNTIFS('Agenda 2026'!$Q$2:$Q$376,DATE(2026,3,7),'Agenda 2026'!$M$2:$M$376,1)&gt;=6,CHAR(10)&amp;IFERROR(INDEX('Agenda 2026'!$B$2:$B$376,MATCH(DATE(2026,3,7)*10+6,'Agenda 2026'!$S$2:$S$376,0)),""),"")&amp;IF(COUNTIFS('Agenda 2026'!$Q$2:$Q$376,DATE(2026,3,7),'Agenda 2026'!$M$2:$M$376,1)&gt;=7,CHAR(10)&amp;IFERROR(INDEX('Agenda 2026'!$B$2:$B$376,MATCH(DATE(2026,3,7)*10+7,'Agenda 2026'!$S$2:$S$376,0)),""),"")&amp;IF(COUNTIFS('Agenda 2026'!$Q$2:$Q$376,DATE(2026,3,7),'Agenda 2026'!$M$2:$M$376,1)&gt;=8,CHAR(10)&amp;IFERROR(INDEX('Agenda 2026'!$B$2:$B$376,MATCH(DATE(2026,3,7)*10+8,'Agenda 2026'!$S$2:$S$376,0)),""),"")&amp;IF(COUNTIFS('Agenda 2026'!$Q$2:$Q$376,DATE(2026,3,7),'Agenda 2026'!$M$2:$M$376,1)&gt;=9,CHAR(10)&amp;IFERROR(INDEX('Agenda 2026'!$B$2:$B$376,MATCH(DATE(2026,3,7)*10+9,'Agenda 2026'!$S$2:$S$376,0)),""),"")&amp;IF(COUNTIFS('Agenda 2026'!$Q$2:$Q$376,DATE(2026,3,7),'Agenda 2026'!$M$2:$M$376,1)&gt;=10,CHAR(10)&amp;IFERROR(INDEX('Agenda 2026'!$B$2:$B$376,MATCH(DATE(2026,3,7)*10+10,'Agenda 2026'!$S$2:$S$376,0)),""),"")&amp;IF(COUNTIFS('Agenda 2026'!$Q$2:$Q$376,DATE(2026,3,7),'Agenda 2026'!$M$2:$M$376,1)&gt;=11,CHAR(10)&amp;IFERROR(INDEX('Agenda 2026'!$B$2:$B$376,MATCH(DATE(2026,3,7)*10+11,'Agenda 2026'!$S$2:$S$376,0)),""),"")&amp;IF(COUNTIFS('Agenda 2026'!$Q$2:$Q$376,DATE(2026,3,7),'Agenda 2026'!$M$2:$M$376,1)&gt;=12,CHAR(10)&amp;IFERROR(INDEX('Agenda 2026'!$B$2:$B$376,MATCH(DATE(2026,3,7)*10+12,'Agenda 2026'!$S$2:$S$376,0)),""),"")</f>
        <v>7</v>
      </c>
      <c r="H29" s="58" t="str">
        <f t="array" ref="H29">8&amp;IF(COUNTIFS('Agenda 2026'!$Q$2:$Q$376,DATE(2026,3,8),'Agenda 2026'!$M$2:$M$376,1)&gt;=1,CHAR(10)&amp;IFERROR(INDEX('Agenda 2026'!$B$2:$B$376,MATCH(DATE(2026,3,8)*10+1,'Agenda 2026'!$S$2:$S$376,0)),""),"")&amp;IF(COUNTIFS('Agenda 2026'!$Q$2:$Q$376,DATE(2026,3,8),'Agenda 2026'!$M$2:$M$376,1)&gt;=2,CHAR(10)&amp;IFERROR(INDEX('Agenda 2026'!$B$2:$B$376,MATCH(DATE(2026,3,8)*10+2,'Agenda 2026'!$S$2:$S$376,0)),""),"")&amp;IF(COUNTIFS('Agenda 2026'!$Q$2:$Q$376,DATE(2026,3,8),'Agenda 2026'!$M$2:$M$376,1)&gt;=3,CHAR(10)&amp;IFERROR(INDEX('Agenda 2026'!$B$2:$B$376,MATCH(DATE(2026,3,8)*10+3,'Agenda 2026'!$S$2:$S$376,0)),""),"")&amp;IF(COUNTIFS('Agenda 2026'!$Q$2:$Q$376,DATE(2026,3,8),'Agenda 2026'!$M$2:$M$376,1)&gt;=4,CHAR(10)&amp;IFERROR(INDEX('Agenda 2026'!$B$2:$B$376,MATCH(DATE(2026,3,8)*10+4,'Agenda 2026'!$S$2:$S$376,0)),""),"")&amp;IF(COUNTIFS('Agenda 2026'!$Q$2:$Q$376,DATE(2026,3,8),'Agenda 2026'!$M$2:$M$376,1)&gt;=5,CHAR(10)&amp;IFERROR(INDEX('Agenda 2026'!$B$2:$B$376,MATCH(DATE(2026,3,8)*10+5,'Agenda 2026'!$S$2:$S$376,0)),""),"")&amp;IF(COUNTIFS('Agenda 2026'!$Q$2:$Q$376,DATE(2026,3,8),'Agenda 2026'!$M$2:$M$376,1)&gt;=6,CHAR(10)&amp;IFERROR(INDEX('Agenda 2026'!$B$2:$B$376,MATCH(DATE(2026,3,8)*10+6,'Agenda 2026'!$S$2:$S$376,0)),""),"")&amp;IF(COUNTIFS('Agenda 2026'!$Q$2:$Q$376,DATE(2026,3,8),'Agenda 2026'!$M$2:$M$376,1)&gt;=7,CHAR(10)&amp;IFERROR(INDEX('Agenda 2026'!$B$2:$B$376,MATCH(DATE(2026,3,8)*10+7,'Agenda 2026'!$S$2:$S$376,0)),""),"")&amp;IF(COUNTIFS('Agenda 2026'!$Q$2:$Q$376,DATE(2026,3,8),'Agenda 2026'!$M$2:$M$376,1)&gt;=8,CHAR(10)&amp;IFERROR(INDEX('Agenda 2026'!$B$2:$B$376,MATCH(DATE(2026,3,8)*10+8,'Agenda 2026'!$S$2:$S$376,0)),""),"")&amp;IF(COUNTIFS('Agenda 2026'!$Q$2:$Q$376,DATE(2026,3,8),'Agenda 2026'!$M$2:$M$376,1)&gt;=9,CHAR(10)&amp;IFERROR(INDEX('Agenda 2026'!$B$2:$B$376,MATCH(DATE(2026,3,8)*10+9,'Agenda 2026'!$S$2:$S$376,0)),""),"")&amp;IF(COUNTIFS('Agenda 2026'!$Q$2:$Q$376,DATE(2026,3,8),'Agenda 2026'!$M$2:$M$376,1)&gt;=10,CHAR(10)&amp;IFERROR(INDEX('Agenda 2026'!$B$2:$B$376,MATCH(DATE(2026,3,8)*10+10,'Agenda 2026'!$S$2:$S$376,0)),""),"")&amp;IF(COUNTIFS('Agenda 2026'!$Q$2:$Q$376,DATE(2026,3,8),'Agenda 2026'!$M$2:$M$376,1)&gt;=11,CHAR(10)&amp;IFERROR(INDEX('Agenda 2026'!$B$2:$B$376,MATCH(DATE(2026,3,8)*10+11,'Agenda 2026'!$S$2:$S$376,0)),""),"")&amp;IF(COUNTIFS('Agenda 2026'!$Q$2:$Q$376,DATE(2026,3,8),'Agenda 2026'!$M$2:$M$376,1)&gt;=12,CHAR(10)&amp;IFERROR(INDEX('Agenda 2026'!$B$2:$B$376,MATCH(DATE(2026,3,8)*10+12,'Agenda 2026'!$S$2:$S$376,0)),""),"")</f>
        <v>8</v>
      </c>
    </row>
    <row r="30" spans="1:8" ht="57.75" customHeight="1" x14ac:dyDescent="0.35">
      <c r="A30" s="17"/>
      <c r="B30" s="58" t="str">
        <f t="array" ref="B30">9&amp;IF(COUNTIFS('Agenda 2026'!$Q$2:$Q$376,DATE(2026,3,9),'Agenda 2026'!$M$2:$M$376,1)&gt;=1,CHAR(10)&amp;IFERROR(INDEX('Agenda 2026'!$B$2:$B$376,MATCH(DATE(2026,3,9)*10+1,'Agenda 2026'!$S$2:$S$376,0)),""),"")&amp;IF(COUNTIFS('Agenda 2026'!$Q$2:$Q$376,DATE(2026,3,9),'Agenda 2026'!$M$2:$M$376,1)&gt;=2,CHAR(10)&amp;IFERROR(INDEX('Agenda 2026'!$B$2:$B$376,MATCH(DATE(2026,3,9)*10+2,'Agenda 2026'!$S$2:$S$376,0)),""),"")&amp;IF(COUNTIFS('Agenda 2026'!$Q$2:$Q$376,DATE(2026,3,9),'Agenda 2026'!$M$2:$M$376,1)&gt;=3,CHAR(10)&amp;IFERROR(INDEX('Agenda 2026'!$B$2:$B$376,MATCH(DATE(2026,3,9)*10+3,'Agenda 2026'!$S$2:$S$376,0)),""),"")&amp;IF(COUNTIFS('Agenda 2026'!$Q$2:$Q$376,DATE(2026,3,9),'Agenda 2026'!$M$2:$M$376,1)&gt;=4,CHAR(10)&amp;IFERROR(INDEX('Agenda 2026'!$B$2:$B$376,MATCH(DATE(2026,3,9)*10+4,'Agenda 2026'!$S$2:$S$376,0)),""),"")&amp;IF(COUNTIFS('Agenda 2026'!$Q$2:$Q$376,DATE(2026,3,9),'Agenda 2026'!$M$2:$M$376,1)&gt;=5,CHAR(10)&amp;IFERROR(INDEX('Agenda 2026'!$B$2:$B$376,MATCH(DATE(2026,3,9)*10+5,'Agenda 2026'!$S$2:$S$376,0)),""),"")&amp;IF(COUNTIFS('Agenda 2026'!$Q$2:$Q$376,DATE(2026,3,9),'Agenda 2026'!$M$2:$M$376,1)&gt;=6,CHAR(10)&amp;IFERROR(INDEX('Agenda 2026'!$B$2:$B$376,MATCH(DATE(2026,3,9)*10+6,'Agenda 2026'!$S$2:$S$376,0)),""),"")&amp;IF(COUNTIFS('Agenda 2026'!$Q$2:$Q$376,DATE(2026,3,9),'Agenda 2026'!$M$2:$M$376,1)&gt;=7,CHAR(10)&amp;IFERROR(INDEX('Agenda 2026'!$B$2:$B$376,MATCH(DATE(2026,3,9)*10+7,'Agenda 2026'!$S$2:$S$376,0)),""),"")&amp;IF(COUNTIFS('Agenda 2026'!$Q$2:$Q$376,DATE(2026,3,9),'Agenda 2026'!$M$2:$M$376,1)&gt;=8,CHAR(10)&amp;IFERROR(INDEX('Agenda 2026'!$B$2:$B$376,MATCH(DATE(2026,3,9)*10+8,'Agenda 2026'!$S$2:$S$376,0)),""),"")&amp;IF(COUNTIFS('Agenda 2026'!$Q$2:$Q$376,DATE(2026,3,9),'Agenda 2026'!$M$2:$M$376,1)&gt;=9,CHAR(10)&amp;IFERROR(INDEX('Agenda 2026'!$B$2:$B$376,MATCH(DATE(2026,3,9)*10+9,'Agenda 2026'!$S$2:$S$376,0)),""),"")&amp;IF(COUNTIFS('Agenda 2026'!$Q$2:$Q$376,DATE(2026,3,9),'Agenda 2026'!$M$2:$M$376,1)&gt;=10,CHAR(10)&amp;IFERROR(INDEX('Agenda 2026'!$B$2:$B$376,MATCH(DATE(2026,3,9)*10+10,'Agenda 2026'!$S$2:$S$376,0)),""),"")&amp;IF(COUNTIFS('Agenda 2026'!$Q$2:$Q$376,DATE(2026,3,9),'Agenda 2026'!$M$2:$M$376,1)&gt;=11,CHAR(10)&amp;IFERROR(INDEX('Agenda 2026'!$B$2:$B$376,MATCH(DATE(2026,3,9)*10+11,'Agenda 2026'!$S$2:$S$376,0)),""),"")&amp;IF(COUNTIFS('Agenda 2026'!$Q$2:$Q$376,DATE(2026,3,9),'Agenda 2026'!$M$2:$M$376,1)&gt;=12,CHAR(10)&amp;IFERROR(INDEX('Agenda 2026'!$B$2:$B$376,MATCH(DATE(2026,3,9)*10+12,'Agenda 2026'!$S$2:$S$376,0)),""),"")</f>
        <v>9</v>
      </c>
      <c r="C30" s="58" t="str">
        <f t="array" ref="C30">10&amp;IF(COUNTIFS('Agenda 2026'!$Q$2:$Q$376,DATE(2026,3,10),'Agenda 2026'!$M$2:$M$376,1)&gt;=1,CHAR(10)&amp;IFERROR(INDEX('Agenda 2026'!$B$2:$B$376,MATCH(DATE(2026,3,10)*10+1,'Agenda 2026'!$S$2:$S$376,0)),""),"")&amp;IF(COUNTIFS('Agenda 2026'!$Q$2:$Q$376,DATE(2026,3,10),'Agenda 2026'!$M$2:$M$376,1)&gt;=2,CHAR(10)&amp;IFERROR(INDEX('Agenda 2026'!$B$2:$B$376,MATCH(DATE(2026,3,10)*10+2,'Agenda 2026'!$S$2:$S$376,0)),""),"")&amp;IF(COUNTIFS('Agenda 2026'!$Q$2:$Q$376,DATE(2026,3,10),'Agenda 2026'!$M$2:$M$376,1)&gt;=3,CHAR(10)&amp;IFERROR(INDEX('Agenda 2026'!$B$2:$B$376,MATCH(DATE(2026,3,10)*10+3,'Agenda 2026'!$S$2:$S$376,0)),""),"")&amp;IF(COUNTIFS('Agenda 2026'!$Q$2:$Q$376,DATE(2026,3,10),'Agenda 2026'!$M$2:$M$376,1)&gt;=4,CHAR(10)&amp;IFERROR(INDEX('Agenda 2026'!$B$2:$B$376,MATCH(DATE(2026,3,10)*10+4,'Agenda 2026'!$S$2:$S$376,0)),""),"")&amp;IF(COUNTIFS('Agenda 2026'!$Q$2:$Q$376,DATE(2026,3,10),'Agenda 2026'!$M$2:$M$376,1)&gt;=5,CHAR(10)&amp;IFERROR(INDEX('Agenda 2026'!$B$2:$B$376,MATCH(DATE(2026,3,10)*10+5,'Agenda 2026'!$S$2:$S$376,0)),""),"")&amp;IF(COUNTIFS('Agenda 2026'!$Q$2:$Q$376,DATE(2026,3,10),'Agenda 2026'!$M$2:$M$376,1)&gt;=6,CHAR(10)&amp;IFERROR(INDEX('Agenda 2026'!$B$2:$B$376,MATCH(DATE(2026,3,10)*10+6,'Agenda 2026'!$S$2:$S$376,0)),""),"")&amp;IF(COUNTIFS('Agenda 2026'!$Q$2:$Q$376,DATE(2026,3,10),'Agenda 2026'!$M$2:$M$376,1)&gt;=7,CHAR(10)&amp;IFERROR(INDEX('Agenda 2026'!$B$2:$B$376,MATCH(DATE(2026,3,10)*10+7,'Agenda 2026'!$S$2:$S$376,0)),""),"")&amp;IF(COUNTIFS('Agenda 2026'!$Q$2:$Q$376,DATE(2026,3,10),'Agenda 2026'!$M$2:$M$376,1)&gt;=8,CHAR(10)&amp;IFERROR(INDEX('Agenda 2026'!$B$2:$B$376,MATCH(DATE(2026,3,10)*10+8,'Agenda 2026'!$S$2:$S$376,0)),""),"")&amp;IF(COUNTIFS('Agenda 2026'!$Q$2:$Q$376,DATE(2026,3,10),'Agenda 2026'!$M$2:$M$376,1)&gt;=9,CHAR(10)&amp;IFERROR(INDEX('Agenda 2026'!$B$2:$B$376,MATCH(DATE(2026,3,10)*10+9,'Agenda 2026'!$S$2:$S$376,0)),""),"")&amp;IF(COUNTIFS('Agenda 2026'!$Q$2:$Q$376,DATE(2026,3,10),'Agenda 2026'!$M$2:$M$376,1)&gt;=10,CHAR(10)&amp;IFERROR(INDEX('Agenda 2026'!$B$2:$B$376,MATCH(DATE(2026,3,10)*10+10,'Agenda 2026'!$S$2:$S$376,0)),""),"")&amp;IF(COUNTIFS('Agenda 2026'!$Q$2:$Q$376,DATE(2026,3,10),'Agenda 2026'!$M$2:$M$376,1)&gt;=11,CHAR(10)&amp;IFERROR(INDEX('Agenda 2026'!$B$2:$B$376,MATCH(DATE(2026,3,10)*10+11,'Agenda 2026'!$S$2:$S$376,0)),""),"")&amp;IF(COUNTIFS('Agenda 2026'!$Q$2:$Q$376,DATE(2026,3,10),'Agenda 2026'!$M$2:$M$376,1)&gt;=12,CHAR(10)&amp;IFERROR(INDEX('Agenda 2026'!$B$2:$B$376,MATCH(DATE(2026,3,10)*10+12,'Agenda 2026'!$S$2:$S$376,0)),""),"")</f>
        <v>10</v>
      </c>
      <c r="D30" s="58" t="str">
        <f t="array" ref="D30">11&amp;IF(COUNTIFS('Agenda 2026'!$Q$2:$Q$376,DATE(2026,3,11),'Agenda 2026'!$M$2:$M$376,1)&gt;=1,CHAR(10)&amp;IFERROR(INDEX('Agenda 2026'!$B$2:$B$376,MATCH(DATE(2026,3,11)*10+1,'Agenda 2026'!$S$2:$S$376,0)),""),"")&amp;IF(COUNTIFS('Agenda 2026'!$Q$2:$Q$376,DATE(2026,3,11),'Agenda 2026'!$M$2:$M$376,1)&gt;=2,CHAR(10)&amp;IFERROR(INDEX('Agenda 2026'!$B$2:$B$376,MATCH(DATE(2026,3,11)*10+2,'Agenda 2026'!$S$2:$S$376,0)),""),"")&amp;IF(COUNTIFS('Agenda 2026'!$Q$2:$Q$376,DATE(2026,3,11),'Agenda 2026'!$M$2:$M$376,1)&gt;=3,CHAR(10)&amp;IFERROR(INDEX('Agenda 2026'!$B$2:$B$376,MATCH(DATE(2026,3,11)*10+3,'Agenda 2026'!$S$2:$S$376,0)),""),"")&amp;IF(COUNTIFS('Agenda 2026'!$Q$2:$Q$376,DATE(2026,3,11),'Agenda 2026'!$M$2:$M$376,1)&gt;=4,CHAR(10)&amp;IFERROR(INDEX('Agenda 2026'!$B$2:$B$376,MATCH(DATE(2026,3,11)*10+4,'Agenda 2026'!$S$2:$S$376,0)),""),"")&amp;IF(COUNTIFS('Agenda 2026'!$Q$2:$Q$376,DATE(2026,3,11),'Agenda 2026'!$M$2:$M$376,1)&gt;=5,CHAR(10)&amp;IFERROR(INDEX('Agenda 2026'!$B$2:$B$376,MATCH(DATE(2026,3,11)*10+5,'Agenda 2026'!$S$2:$S$376,0)),""),"")&amp;IF(COUNTIFS('Agenda 2026'!$Q$2:$Q$376,DATE(2026,3,11),'Agenda 2026'!$M$2:$M$376,1)&gt;=6,CHAR(10)&amp;IFERROR(INDEX('Agenda 2026'!$B$2:$B$376,MATCH(DATE(2026,3,11)*10+6,'Agenda 2026'!$S$2:$S$376,0)),""),"")&amp;IF(COUNTIFS('Agenda 2026'!$Q$2:$Q$376,DATE(2026,3,11),'Agenda 2026'!$M$2:$M$376,1)&gt;=7,CHAR(10)&amp;IFERROR(INDEX('Agenda 2026'!$B$2:$B$376,MATCH(DATE(2026,3,11)*10+7,'Agenda 2026'!$S$2:$S$376,0)),""),"")&amp;IF(COUNTIFS('Agenda 2026'!$Q$2:$Q$376,DATE(2026,3,11),'Agenda 2026'!$M$2:$M$376,1)&gt;=8,CHAR(10)&amp;IFERROR(INDEX('Agenda 2026'!$B$2:$B$376,MATCH(DATE(2026,3,11)*10+8,'Agenda 2026'!$S$2:$S$376,0)),""),"")&amp;IF(COUNTIFS('Agenda 2026'!$Q$2:$Q$376,DATE(2026,3,11),'Agenda 2026'!$M$2:$M$376,1)&gt;=9,CHAR(10)&amp;IFERROR(INDEX('Agenda 2026'!$B$2:$B$376,MATCH(DATE(2026,3,11)*10+9,'Agenda 2026'!$S$2:$S$376,0)),""),"")&amp;IF(COUNTIFS('Agenda 2026'!$Q$2:$Q$376,DATE(2026,3,11),'Agenda 2026'!$M$2:$M$376,1)&gt;=10,CHAR(10)&amp;IFERROR(INDEX('Agenda 2026'!$B$2:$B$376,MATCH(DATE(2026,3,11)*10+10,'Agenda 2026'!$S$2:$S$376,0)),""),"")&amp;IF(COUNTIFS('Agenda 2026'!$Q$2:$Q$376,DATE(2026,3,11),'Agenda 2026'!$M$2:$M$376,1)&gt;=11,CHAR(10)&amp;IFERROR(INDEX('Agenda 2026'!$B$2:$B$376,MATCH(DATE(2026,3,11)*10+11,'Agenda 2026'!$S$2:$S$376,0)),""),"")&amp;IF(COUNTIFS('Agenda 2026'!$Q$2:$Q$376,DATE(2026,3,11),'Agenda 2026'!$M$2:$M$376,1)&gt;=12,CHAR(10)&amp;IFERROR(INDEX('Agenda 2026'!$B$2:$B$376,MATCH(DATE(2026,3,11)*10+12,'Agenda 2026'!$S$2:$S$376,0)),""),"")</f>
        <v>11</v>
      </c>
      <c r="E30" s="58" t="str">
        <f t="array" ref="E30">12&amp;IF(COUNTIFS('Agenda 2026'!$Q$2:$Q$376,DATE(2026,3,12),'Agenda 2026'!$M$2:$M$376,1)&gt;=1,CHAR(10)&amp;IFERROR(INDEX('Agenda 2026'!$B$2:$B$376,MATCH(DATE(2026,3,12)*10+1,'Agenda 2026'!$S$2:$S$376,0)),""),"")&amp;IF(COUNTIFS('Agenda 2026'!$Q$2:$Q$376,DATE(2026,3,12),'Agenda 2026'!$M$2:$M$376,1)&gt;=2,CHAR(10)&amp;IFERROR(INDEX('Agenda 2026'!$B$2:$B$376,MATCH(DATE(2026,3,12)*10+2,'Agenda 2026'!$S$2:$S$376,0)),""),"")&amp;IF(COUNTIFS('Agenda 2026'!$Q$2:$Q$376,DATE(2026,3,12),'Agenda 2026'!$M$2:$M$376,1)&gt;=3,CHAR(10)&amp;IFERROR(INDEX('Agenda 2026'!$B$2:$B$376,MATCH(DATE(2026,3,12)*10+3,'Agenda 2026'!$S$2:$S$376,0)),""),"")&amp;IF(COUNTIFS('Agenda 2026'!$Q$2:$Q$376,DATE(2026,3,12),'Agenda 2026'!$M$2:$M$376,1)&gt;=4,CHAR(10)&amp;IFERROR(INDEX('Agenda 2026'!$B$2:$B$376,MATCH(DATE(2026,3,12)*10+4,'Agenda 2026'!$S$2:$S$376,0)),""),"")&amp;IF(COUNTIFS('Agenda 2026'!$Q$2:$Q$376,DATE(2026,3,12),'Agenda 2026'!$M$2:$M$376,1)&gt;=5,CHAR(10)&amp;IFERROR(INDEX('Agenda 2026'!$B$2:$B$376,MATCH(DATE(2026,3,12)*10+5,'Agenda 2026'!$S$2:$S$376,0)),""),"")&amp;IF(COUNTIFS('Agenda 2026'!$Q$2:$Q$376,DATE(2026,3,12),'Agenda 2026'!$M$2:$M$376,1)&gt;=6,CHAR(10)&amp;IFERROR(INDEX('Agenda 2026'!$B$2:$B$376,MATCH(DATE(2026,3,12)*10+6,'Agenda 2026'!$S$2:$S$376,0)),""),"")&amp;IF(COUNTIFS('Agenda 2026'!$Q$2:$Q$376,DATE(2026,3,12),'Agenda 2026'!$M$2:$M$376,1)&gt;=7,CHAR(10)&amp;IFERROR(INDEX('Agenda 2026'!$B$2:$B$376,MATCH(DATE(2026,3,12)*10+7,'Agenda 2026'!$S$2:$S$376,0)),""),"")&amp;IF(COUNTIFS('Agenda 2026'!$Q$2:$Q$376,DATE(2026,3,12),'Agenda 2026'!$M$2:$M$376,1)&gt;=8,CHAR(10)&amp;IFERROR(INDEX('Agenda 2026'!$B$2:$B$376,MATCH(DATE(2026,3,12)*10+8,'Agenda 2026'!$S$2:$S$376,0)),""),"")&amp;IF(COUNTIFS('Agenda 2026'!$Q$2:$Q$376,DATE(2026,3,12),'Agenda 2026'!$M$2:$M$376,1)&gt;=9,CHAR(10)&amp;IFERROR(INDEX('Agenda 2026'!$B$2:$B$376,MATCH(DATE(2026,3,12)*10+9,'Agenda 2026'!$S$2:$S$376,0)),""),"")&amp;IF(COUNTIFS('Agenda 2026'!$Q$2:$Q$376,DATE(2026,3,12),'Agenda 2026'!$M$2:$M$376,1)&gt;=10,CHAR(10)&amp;IFERROR(INDEX('Agenda 2026'!$B$2:$B$376,MATCH(DATE(2026,3,12)*10+10,'Agenda 2026'!$S$2:$S$376,0)),""),"")&amp;IF(COUNTIFS('Agenda 2026'!$Q$2:$Q$376,DATE(2026,3,12),'Agenda 2026'!$M$2:$M$376,1)&gt;=11,CHAR(10)&amp;IFERROR(INDEX('Agenda 2026'!$B$2:$B$376,MATCH(DATE(2026,3,12)*10+11,'Agenda 2026'!$S$2:$S$376,0)),""),"")&amp;IF(COUNTIFS('Agenda 2026'!$Q$2:$Q$376,DATE(2026,3,12),'Agenda 2026'!$M$2:$M$376,1)&gt;=12,CHAR(10)&amp;IFERROR(INDEX('Agenda 2026'!$B$2:$B$376,MATCH(DATE(2026,3,12)*10+12,'Agenda 2026'!$S$2:$S$376,0)),""),"")</f>
        <v>12</v>
      </c>
      <c r="F30" s="58" t="str">
        <f t="array" ref="F30">13&amp;IF(COUNTIFS('Agenda 2026'!$Q$2:$Q$376,DATE(2026,3,13),'Agenda 2026'!$M$2:$M$376,1)&gt;=1,CHAR(10)&amp;IFERROR(INDEX('Agenda 2026'!$B$2:$B$376,MATCH(DATE(2026,3,13)*10+1,'Agenda 2026'!$S$2:$S$376,0)),""),"")&amp;IF(COUNTIFS('Agenda 2026'!$Q$2:$Q$376,DATE(2026,3,13),'Agenda 2026'!$M$2:$M$376,1)&gt;=2,CHAR(10)&amp;IFERROR(INDEX('Agenda 2026'!$B$2:$B$376,MATCH(DATE(2026,3,13)*10+2,'Agenda 2026'!$S$2:$S$376,0)),""),"")&amp;IF(COUNTIFS('Agenda 2026'!$Q$2:$Q$376,DATE(2026,3,13),'Agenda 2026'!$M$2:$M$376,1)&gt;=3,CHAR(10)&amp;IFERROR(INDEX('Agenda 2026'!$B$2:$B$376,MATCH(DATE(2026,3,13)*10+3,'Agenda 2026'!$S$2:$S$376,0)),""),"")&amp;IF(COUNTIFS('Agenda 2026'!$Q$2:$Q$376,DATE(2026,3,13),'Agenda 2026'!$M$2:$M$376,1)&gt;=4,CHAR(10)&amp;IFERROR(INDEX('Agenda 2026'!$B$2:$B$376,MATCH(DATE(2026,3,13)*10+4,'Agenda 2026'!$S$2:$S$376,0)),""),"")&amp;IF(COUNTIFS('Agenda 2026'!$Q$2:$Q$376,DATE(2026,3,13),'Agenda 2026'!$M$2:$M$376,1)&gt;=5,CHAR(10)&amp;IFERROR(INDEX('Agenda 2026'!$B$2:$B$376,MATCH(DATE(2026,3,13)*10+5,'Agenda 2026'!$S$2:$S$376,0)),""),"")&amp;IF(COUNTIFS('Agenda 2026'!$Q$2:$Q$376,DATE(2026,3,13),'Agenda 2026'!$M$2:$M$376,1)&gt;=6,CHAR(10)&amp;IFERROR(INDEX('Agenda 2026'!$B$2:$B$376,MATCH(DATE(2026,3,13)*10+6,'Agenda 2026'!$S$2:$S$376,0)),""),"")&amp;IF(COUNTIFS('Agenda 2026'!$Q$2:$Q$376,DATE(2026,3,13),'Agenda 2026'!$M$2:$M$376,1)&gt;=7,CHAR(10)&amp;IFERROR(INDEX('Agenda 2026'!$B$2:$B$376,MATCH(DATE(2026,3,13)*10+7,'Agenda 2026'!$S$2:$S$376,0)),""),"")&amp;IF(COUNTIFS('Agenda 2026'!$Q$2:$Q$376,DATE(2026,3,13),'Agenda 2026'!$M$2:$M$376,1)&gt;=8,CHAR(10)&amp;IFERROR(INDEX('Agenda 2026'!$B$2:$B$376,MATCH(DATE(2026,3,13)*10+8,'Agenda 2026'!$S$2:$S$376,0)),""),"")&amp;IF(COUNTIFS('Agenda 2026'!$Q$2:$Q$376,DATE(2026,3,13),'Agenda 2026'!$M$2:$M$376,1)&gt;=9,CHAR(10)&amp;IFERROR(INDEX('Agenda 2026'!$B$2:$B$376,MATCH(DATE(2026,3,13)*10+9,'Agenda 2026'!$S$2:$S$376,0)),""),"")&amp;IF(COUNTIFS('Agenda 2026'!$Q$2:$Q$376,DATE(2026,3,13),'Agenda 2026'!$M$2:$M$376,1)&gt;=10,CHAR(10)&amp;IFERROR(INDEX('Agenda 2026'!$B$2:$B$376,MATCH(DATE(2026,3,13)*10+10,'Agenda 2026'!$S$2:$S$376,0)),""),"")&amp;IF(COUNTIFS('Agenda 2026'!$Q$2:$Q$376,DATE(2026,3,13),'Agenda 2026'!$M$2:$M$376,1)&gt;=11,CHAR(10)&amp;IFERROR(INDEX('Agenda 2026'!$B$2:$B$376,MATCH(DATE(2026,3,13)*10+11,'Agenda 2026'!$S$2:$S$376,0)),""),"")&amp;IF(COUNTIFS('Agenda 2026'!$Q$2:$Q$376,DATE(2026,3,13),'Agenda 2026'!$M$2:$M$376,1)&gt;=12,CHAR(10)&amp;IFERROR(INDEX('Agenda 2026'!$B$2:$B$376,MATCH(DATE(2026,3,13)*10+12,'Agenda 2026'!$S$2:$S$376,0)),""),"")</f>
        <v>13</v>
      </c>
      <c r="G30" s="58" t="str">
        <f t="array" ref="G30">14&amp;IF(COUNTIFS('Agenda 2026'!$Q$2:$Q$376,DATE(2026,3,14),'Agenda 2026'!$M$2:$M$376,1)&gt;=1,CHAR(10)&amp;IFERROR(INDEX('Agenda 2026'!$B$2:$B$376,MATCH(DATE(2026,3,14)*10+1,'Agenda 2026'!$S$2:$S$376,0)),""),"")&amp;IF(COUNTIFS('Agenda 2026'!$Q$2:$Q$376,DATE(2026,3,14),'Agenda 2026'!$M$2:$M$376,1)&gt;=2,CHAR(10)&amp;IFERROR(INDEX('Agenda 2026'!$B$2:$B$376,MATCH(DATE(2026,3,14)*10+2,'Agenda 2026'!$S$2:$S$376,0)),""),"")&amp;IF(COUNTIFS('Agenda 2026'!$Q$2:$Q$376,DATE(2026,3,14),'Agenda 2026'!$M$2:$M$376,1)&gt;=3,CHAR(10)&amp;IFERROR(INDEX('Agenda 2026'!$B$2:$B$376,MATCH(DATE(2026,3,14)*10+3,'Agenda 2026'!$S$2:$S$376,0)),""),"")&amp;IF(COUNTIFS('Agenda 2026'!$Q$2:$Q$376,DATE(2026,3,14),'Agenda 2026'!$M$2:$M$376,1)&gt;=4,CHAR(10)&amp;IFERROR(INDEX('Agenda 2026'!$B$2:$B$376,MATCH(DATE(2026,3,14)*10+4,'Agenda 2026'!$S$2:$S$376,0)),""),"")&amp;IF(COUNTIFS('Agenda 2026'!$Q$2:$Q$376,DATE(2026,3,14),'Agenda 2026'!$M$2:$M$376,1)&gt;=5,CHAR(10)&amp;IFERROR(INDEX('Agenda 2026'!$B$2:$B$376,MATCH(DATE(2026,3,14)*10+5,'Agenda 2026'!$S$2:$S$376,0)),""),"")&amp;IF(COUNTIFS('Agenda 2026'!$Q$2:$Q$376,DATE(2026,3,14),'Agenda 2026'!$M$2:$M$376,1)&gt;=6,CHAR(10)&amp;IFERROR(INDEX('Agenda 2026'!$B$2:$B$376,MATCH(DATE(2026,3,14)*10+6,'Agenda 2026'!$S$2:$S$376,0)),""),"")&amp;IF(COUNTIFS('Agenda 2026'!$Q$2:$Q$376,DATE(2026,3,14),'Agenda 2026'!$M$2:$M$376,1)&gt;=7,CHAR(10)&amp;IFERROR(INDEX('Agenda 2026'!$B$2:$B$376,MATCH(DATE(2026,3,14)*10+7,'Agenda 2026'!$S$2:$S$376,0)),""),"")&amp;IF(COUNTIFS('Agenda 2026'!$Q$2:$Q$376,DATE(2026,3,14),'Agenda 2026'!$M$2:$M$376,1)&gt;=8,CHAR(10)&amp;IFERROR(INDEX('Agenda 2026'!$B$2:$B$376,MATCH(DATE(2026,3,14)*10+8,'Agenda 2026'!$S$2:$S$376,0)),""),"")&amp;IF(COUNTIFS('Agenda 2026'!$Q$2:$Q$376,DATE(2026,3,14),'Agenda 2026'!$M$2:$M$376,1)&gt;=9,CHAR(10)&amp;IFERROR(INDEX('Agenda 2026'!$B$2:$B$376,MATCH(DATE(2026,3,14)*10+9,'Agenda 2026'!$S$2:$S$376,0)),""),"")&amp;IF(COUNTIFS('Agenda 2026'!$Q$2:$Q$376,DATE(2026,3,14),'Agenda 2026'!$M$2:$M$376,1)&gt;=10,CHAR(10)&amp;IFERROR(INDEX('Agenda 2026'!$B$2:$B$376,MATCH(DATE(2026,3,14)*10+10,'Agenda 2026'!$S$2:$S$376,0)),""),"")&amp;IF(COUNTIFS('Agenda 2026'!$Q$2:$Q$376,DATE(2026,3,14),'Agenda 2026'!$M$2:$M$376,1)&gt;=11,CHAR(10)&amp;IFERROR(INDEX('Agenda 2026'!$B$2:$B$376,MATCH(DATE(2026,3,14)*10+11,'Agenda 2026'!$S$2:$S$376,0)),""),"")&amp;IF(COUNTIFS('Agenda 2026'!$Q$2:$Q$376,DATE(2026,3,14),'Agenda 2026'!$M$2:$M$376,1)&gt;=12,CHAR(10)&amp;IFERROR(INDEX('Agenda 2026'!$B$2:$B$376,MATCH(DATE(2026,3,14)*10+12,'Agenda 2026'!$S$2:$S$376,0)),""),"")</f>
        <v>14</v>
      </c>
      <c r="H30" s="58" t="str">
        <f t="array" ref="H30">15&amp;IF(COUNTIFS('Agenda 2026'!$Q$2:$Q$376,DATE(2026,3,15),'Agenda 2026'!$M$2:$M$376,1)&gt;=1,CHAR(10)&amp;IFERROR(INDEX('Agenda 2026'!$B$2:$B$376,MATCH(DATE(2026,3,15)*10+1,'Agenda 2026'!$S$2:$S$376,0)),""),"")&amp;IF(COUNTIFS('Agenda 2026'!$Q$2:$Q$376,DATE(2026,3,15),'Agenda 2026'!$M$2:$M$376,1)&gt;=2,CHAR(10)&amp;IFERROR(INDEX('Agenda 2026'!$B$2:$B$376,MATCH(DATE(2026,3,15)*10+2,'Agenda 2026'!$S$2:$S$376,0)),""),"")&amp;IF(COUNTIFS('Agenda 2026'!$Q$2:$Q$376,DATE(2026,3,15),'Agenda 2026'!$M$2:$M$376,1)&gt;=3,CHAR(10)&amp;IFERROR(INDEX('Agenda 2026'!$B$2:$B$376,MATCH(DATE(2026,3,15)*10+3,'Agenda 2026'!$S$2:$S$376,0)),""),"")&amp;IF(COUNTIFS('Agenda 2026'!$Q$2:$Q$376,DATE(2026,3,15),'Agenda 2026'!$M$2:$M$376,1)&gt;=4,CHAR(10)&amp;IFERROR(INDEX('Agenda 2026'!$B$2:$B$376,MATCH(DATE(2026,3,15)*10+4,'Agenda 2026'!$S$2:$S$376,0)),""),"")&amp;IF(COUNTIFS('Agenda 2026'!$Q$2:$Q$376,DATE(2026,3,15),'Agenda 2026'!$M$2:$M$376,1)&gt;=5,CHAR(10)&amp;IFERROR(INDEX('Agenda 2026'!$B$2:$B$376,MATCH(DATE(2026,3,15)*10+5,'Agenda 2026'!$S$2:$S$376,0)),""),"")&amp;IF(COUNTIFS('Agenda 2026'!$Q$2:$Q$376,DATE(2026,3,15),'Agenda 2026'!$M$2:$M$376,1)&gt;=6,CHAR(10)&amp;IFERROR(INDEX('Agenda 2026'!$B$2:$B$376,MATCH(DATE(2026,3,15)*10+6,'Agenda 2026'!$S$2:$S$376,0)),""),"")&amp;IF(COUNTIFS('Agenda 2026'!$Q$2:$Q$376,DATE(2026,3,15),'Agenda 2026'!$M$2:$M$376,1)&gt;=7,CHAR(10)&amp;IFERROR(INDEX('Agenda 2026'!$B$2:$B$376,MATCH(DATE(2026,3,15)*10+7,'Agenda 2026'!$S$2:$S$376,0)),""),"")&amp;IF(COUNTIFS('Agenda 2026'!$Q$2:$Q$376,DATE(2026,3,15),'Agenda 2026'!$M$2:$M$376,1)&gt;=8,CHAR(10)&amp;IFERROR(INDEX('Agenda 2026'!$B$2:$B$376,MATCH(DATE(2026,3,15)*10+8,'Agenda 2026'!$S$2:$S$376,0)),""),"")&amp;IF(COUNTIFS('Agenda 2026'!$Q$2:$Q$376,DATE(2026,3,15),'Agenda 2026'!$M$2:$M$376,1)&gt;=9,CHAR(10)&amp;IFERROR(INDEX('Agenda 2026'!$B$2:$B$376,MATCH(DATE(2026,3,15)*10+9,'Agenda 2026'!$S$2:$S$376,0)),""),"")&amp;IF(COUNTIFS('Agenda 2026'!$Q$2:$Q$376,DATE(2026,3,15),'Agenda 2026'!$M$2:$M$376,1)&gt;=10,CHAR(10)&amp;IFERROR(INDEX('Agenda 2026'!$B$2:$B$376,MATCH(DATE(2026,3,15)*10+10,'Agenda 2026'!$S$2:$S$376,0)),""),"")&amp;IF(COUNTIFS('Agenda 2026'!$Q$2:$Q$376,DATE(2026,3,15),'Agenda 2026'!$M$2:$M$376,1)&gt;=11,CHAR(10)&amp;IFERROR(INDEX('Agenda 2026'!$B$2:$B$376,MATCH(DATE(2026,3,15)*10+11,'Agenda 2026'!$S$2:$S$376,0)),""),"")&amp;IF(COUNTIFS('Agenda 2026'!$Q$2:$Q$376,DATE(2026,3,15),'Agenda 2026'!$M$2:$M$376,1)&gt;=12,CHAR(10)&amp;IFERROR(INDEX('Agenda 2026'!$B$2:$B$376,MATCH(DATE(2026,3,15)*10+12,'Agenda 2026'!$S$2:$S$376,0)),""),"")</f>
        <v>15</v>
      </c>
    </row>
    <row r="31" spans="1:8" ht="69.75" customHeight="1" x14ac:dyDescent="0.35">
      <c r="A31" s="17"/>
      <c r="B31" s="58" t="str">
        <f t="array" ref="B31">16&amp;IF(COUNTIFS('Agenda 2026'!$Q$2:$Q$376,DATE(2026,3,16),'Agenda 2026'!$M$2:$M$376,1)&gt;=1,CHAR(10)&amp;IFERROR(INDEX('Agenda 2026'!$B$2:$B$376,MATCH(DATE(2026,3,16)*10+1,'Agenda 2026'!$S$2:$S$376,0)),""),"")&amp;IF(COUNTIFS('Agenda 2026'!$Q$2:$Q$376,DATE(2026,3,16),'Agenda 2026'!$M$2:$M$376,1)&gt;=2,CHAR(10)&amp;IFERROR(INDEX('Agenda 2026'!$B$2:$B$376,MATCH(DATE(2026,3,16)*10+2,'Agenda 2026'!$S$2:$S$376,0)),""),"")&amp;IF(COUNTIFS('Agenda 2026'!$Q$2:$Q$376,DATE(2026,3,16),'Agenda 2026'!$M$2:$M$376,1)&gt;=3,CHAR(10)&amp;IFERROR(INDEX('Agenda 2026'!$B$2:$B$376,MATCH(DATE(2026,3,16)*10+3,'Agenda 2026'!$S$2:$S$376,0)),""),"")&amp;IF(COUNTIFS('Agenda 2026'!$Q$2:$Q$376,DATE(2026,3,16),'Agenda 2026'!$M$2:$M$376,1)&gt;=4,CHAR(10)&amp;IFERROR(INDEX('Agenda 2026'!$B$2:$B$376,MATCH(DATE(2026,3,16)*10+4,'Agenda 2026'!$S$2:$S$376,0)),""),"")&amp;IF(COUNTIFS('Agenda 2026'!$Q$2:$Q$376,DATE(2026,3,16),'Agenda 2026'!$M$2:$M$376,1)&gt;=5,CHAR(10)&amp;IFERROR(INDEX('Agenda 2026'!$B$2:$B$376,MATCH(DATE(2026,3,16)*10+5,'Agenda 2026'!$S$2:$S$376,0)),""),"")&amp;IF(COUNTIFS('Agenda 2026'!$Q$2:$Q$376,DATE(2026,3,16),'Agenda 2026'!$M$2:$M$376,1)&gt;=6,CHAR(10)&amp;IFERROR(INDEX('Agenda 2026'!$B$2:$B$376,MATCH(DATE(2026,3,16)*10+6,'Agenda 2026'!$S$2:$S$376,0)),""),"")&amp;IF(COUNTIFS('Agenda 2026'!$Q$2:$Q$376,DATE(2026,3,16),'Agenda 2026'!$M$2:$M$376,1)&gt;=7,CHAR(10)&amp;IFERROR(INDEX('Agenda 2026'!$B$2:$B$376,MATCH(DATE(2026,3,16)*10+7,'Agenda 2026'!$S$2:$S$376,0)),""),"")&amp;IF(COUNTIFS('Agenda 2026'!$Q$2:$Q$376,DATE(2026,3,16),'Agenda 2026'!$M$2:$M$376,1)&gt;=8,CHAR(10)&amp;IFERROR(INDEX('Agenda 2026'!$B$2:$B$376,MATCH(DATE(2026,3,16)*10+8,'Agenda 2026'!$S$2:$S$376,0)),""),"")&amp;IF(COUNTIFS('Agenda 2026'!$Q$2:$Q$376,DATE(2026,3,16),'Agenda 2026'!$M$2:$M$376,1)&gt;=9,CHAR(10)&amp;IFERROR(INDEX('Agenda 2026'!$B$2:$B$376,MATCH(DATE(2026,3,16)*10+9,'Agenda 2026'!$S$2:$S$376,0)),""),"")&amp;IF(COUNTIFS('Agenda 2026'!$Q$2:$Q$376,DATE(2026,3,16),'Agenda 2026'!$M$2:$M$376,1)&gt;=10,CHAR(10)&amp;IFERROR(INDEX('Agenda 2026'!$B$2:$B$376,MATCH(DATE(2026,3,16)*10+10,'Agenda 2026'!$S$2:$S$376,0)),""),"")&amp;IF(COUNTIFS('Agenda 2026'!$Q$2:$Q$376,DATE(2026,3,16),'Agenda 2026'!$M$2:$M$376,1)&gt;=11,CHAR(10)&amp;IFERROR(INDEX('Agenda 2026'!$B$2:$B$376,MATCH(DATE(2026,3,16)*10+11,'Agenda 2026'!$S$2:$S$376,0)),""),"")&amp;IF(COUNTIFS('Agenda 2026'!$Q$2:$Q$376,DATE(2026,3,16),'Agenda 2026'!$M$2:$M$376,1)&gt;=12,CHAR(10)&amp;IFERROR(INDEX('Agenda 2026'!$B$2:$B$376,MATCH(DATE(2026,3,16)*10+12,'Agenda 2026'!$S$2:$S$376,0)),""),"")</f>
        <v>16</v>
      </c>
      <c r="C31" s="58" t="str">
        <f t="array" ref="C31">17&amp;IF(COUNTIFS('Agenda 2026'!$Q$2:$Q$376,DATE(2026,3,17),'Agenda 2026'!$M$2:$M$376,1)&gt;=1,CHAR(10)&amp;IFERROR(INDEX('Agenda 2026'!$B$2:$B$376,MATCH(DATE(2026,3,17)*10+1,'Agenda 2026'!$S$2:$S$376,0)),""),"")&amp;IF(COUNTIFS('Agenda 2026'!$Q$2:$Q$376,DATE(2026,3,17),'Agenda 2026'!$M$2:$M$376,1)&gt;=2,CHAR(10)&amp;IFERROR(INDEX('Agenda 2026'!$B$2:$B$376,MATCH(DATE(2026,3,17)*10+2,'Agenda 2026'!$S$2:$S$376,0)),""),"")&amp;IF(COUNTIFS('Agenda 2026'!$Q$2:$Q$376,DATE(2026,3,17),'Agenda 2026'!$M$2:$M$376,1)&gt;=3,CHAR(10)&amp;IFERROR(INDEX('Agenda 2026'!$B$2:$B$376,MATCH(DATE(2026,3,17)*10+3,'Agenda 2026'!$S$2:$S$376,0)),""),"")&amp;IF(COUNTIFS('Agenda 2026'!$Q$2:$Q$376,DATE(2026,3,17),'Agenda 2026'!$M$2:$M$376,1)&gt;=4,CHAR(10)&amp;IFERROR(INDEX('Agenda 2026'!$B$2:$B$376,MATCH(DATE(2026,3,17)*10+4,'Agenda 2026'!$S$2:$S$376,0)),""),"")&amp;IF(COUNTIFS('Agenda 2026'!$Q$2:$Q$376,DATE(2026,3,17),'Agenda 2026'!$M$2:$M$376,1)&gt;=5,CHAR(10)&amp;IFERROR(INDEX('Agenda 2026'!$B$2:$B$376,MATCH(DATE(2026,3,17)*10+5,'Agenda 2026'!$S$2:$S$376,0)),""),"")&amp;IF(COUNTIFS('Agenda 2026'!$Q$2:$Q$376,DATE(2026,3,17),'Agenda 2026'!$M$2:$M$376,1)&gt;=6,CHAR(10)&amp;IFERROR(INDEX('Agenda 2026'!$B$2:$B$376,MATCH(DATE(2026,3,17)*10+6,'Agenda 2026'!$S$2:$S$376,0)),""),"")&amp;IF(COUNTIFS('Agenda 2026'!$Q$2:$Q$376,DATE(2026,3,17),'Agenda 2026'!$M$2:$M$376,1)&gt;=7,CHAR(10)&amp;IFERROR(INDEX('Agenda 2026'!$B$2:$B$376,MATCH(DATE(2026,3,17)*10+7,'Agenda 2026'!$S$2:$S$376,0)),""),"")&amp;IF(COUNTIFS('Agenda 2026'!$Q$2:$Q$376,DATE(2026,3,17),'Agenda 2026'!$M$2:$M$376,1)&gt;=8,CHAR(10)&amp;IFERROR(INDEX('Agenda 2026'!$B$2:$B$376,MATCH(DATE(2026,3,17)*10+8,'Agenda 2026'!$S$2:$S$376,0)),""),"")&amp;IF(COUNTIFS('Agenda 2026'!$Q$2:$Q$376,DATE(2026,3,17),'Agenda 2026'!$M$2:$M$376,1)&gt;=9,CHAR(10)&amp;IFERROR(INDEX('Agenda 2026'!$B$2:$B$376,MATCH(DATE(2026,3,17)*10+9,'Agenda 2026'!$S$2:$S$376,0)),""),"")&amp;IF(COUNTIFS('Agenda 2026'!$Q$2:$Q$376,DATE(2026,3,17),'Agenda 2026'!$M$2:$M$376,1)&gt;=10,CHAR(10)&amp;IFERROR(INDEX('Agenda 2026'!$B$2:$B$376,MATCH(DATE(2026,3,17)*10+10,'Agenda 2026'!$S$2:$S$376,0)),""),"")&amp;IF(COUNTIFS('Agenda 2026'!$Q$2:$Q$376,DATE(2026,3,17),'Agenda 2026'!$M$2:$M$376,1)&gt;=11,CHAR(10)&amp;IFERROR(INDEX('Agenda 2026'!$B$2:$B$376,MATCH(DATE(2026,3,17)*10+11,'Agenda 2026'!$S$2:$S$376,0)),""),"")&amp;IF(COUNTIFS('Agenda 2026'!$Q$2:$Q$376,DATE(2026,3,17),'Agenda 2026'!$M$2:$M$376,1)&gt;=12,CHAR(10)&amp;IFERROR(INDEX('Agenda 2026'!$B$2:$B$376,MATCH(DATE(2026,3,17)*10+12,'Agenda 2026'!$S$2:$S$376,0)),""),"")</f>
        <v>17</v>
      </c>
      <c r="D31" s="58" t="str">
        <f t="array" ref="D31">18&amp;IF(COUNTIFS('Agenda 2026'!$Q$2:$Q$376,DATE(2026,3,18),'Agenda 2026'!$M$2:$M$376,1)&gt;=1,CHAR(10)&amp;IFERROR(INDEX('Agenda 2026'!$B$2:$B$376,MATCH(DATE(2026,3,18)*10+1,'Agenda 2026'!$S$2:$S$376,0)),""),"")&amp;IF(COUNTIFS('Agenda 2026'!$Q$2:$Q$376,DATE(2026,3,18),'Agenda 2026'!$M$2:$M$376,1)&gt;=2,CHAR(10)&amp;IFERROR(INDEX('Agenda 2026'!$B$2:$B$376,MATCH(DATE(2026,3,18)*10+2,'Agenda 2026'!$S$2:$S$376,0)),""),"")&amp;IF(COUNTIFS('Agenda 2026'!$Q$2:$Q$376,DATE(2026,3,18),'Agenda 2026'!$M$2:$M$376,1)&gt;=3,CHAR(10)&amp;IFERROR(INDEX('Agenda 2026'!$B$2:$B$376,MATCH(DATE(2026,3,18)*10+3,'Agenda 2026'!$S$2:$S$376,0)),""),"")&amp;IF(COUNTIFS('Agenda 2026'!$Q$2:$Q$376,DATE(2026,3,18),'Agenda 2026'!$M$2:$M$376,1)&gt;=4,CHAR(10)&amp;IFERROR(INDEX('Agenda 2026'!$B$2:$B$376,MATCH(DATE(2026,3,18)*10+4,'Agenda 2026'!$S$2:$S$376,0)),""),"")&amp;IF(COUNTIFS('Agenda 2026'!$Q$2:$Q$376,DATE(2026,3,18),'Agenda 2026'!$M$2:$M$376,1)&gt;=5,CHAR(10)&amp;IFERROR(INDEX('Agenda 2026'!$B$2:$B$376,MATCH(DATE(2026,3,18)*10+5,'Agenda 2026'!$S$2:$S$376,0)),""),"")&amp;IF(COUNTIFS('Agenda 2026'!$Q$2:$Q$376,DATE(2026,3,18),'Agenda 2026'!$M$2:$M$376,1)&gt;=6,CHAR(10)&amp;IFERROR(INDEX('Agenda 2026'!$B$2:$B$376,MATCH(DATE(2026,3,18)*10+6,'Agenda 2026'!$S$2:$S$376,0)),""),"")&amp;IF(COUNTIFS('Agenda 2026'!$Q$2:$Q$376,DATE(2026,3,18),'Agenda 2026'!$M$2:$M$376,1)&gt;=7,CHAR(10)&amp;IFERROR(INDEX('Agenda 2026'!$B$2:$B$376,MATCH(DATE(2026,3,18)*10+7,'Agenda 2026'!$S$2:$S$376,0)),""),"")&amp;IF(COUNTIFS('Agenda 2026'!$Q$2:$Q$376,DATE(2026,3,18),'Agenda 2026'!$M$2:$M$376,1)&gt;=8,CHAR(10)&amp;IFERROR(INDEX('Agenda 2026'!$B$2:$B$376,MATCH(DATE(2026,3,18)*10+8,'Agenda 2026'!$S$2:$S$376,0)),""),"")&amp;IF(COUNTIFS('Agenda 2026'!$Q$2:$Q$376,DATE(2026,3,18),'Agenda 2026'!$M$2:$M$376,1)&gt;=9,CHAR(10)&amp;IFERROR(INDEX('Agenda 2026'!$B$2:$B$376,MATCH(DATE(2026,3,18)*10+9,'Agenda 2026'!$S$2:$S$376,0)),""),"")&amp;IF(COUNTIFS('Agenda 2026'!$Q$2:$Q$376,DATE(2026,3,18),'Agenda 2026'!$M$2:$M$376,1)&gt;=10,CHAR(10)&amp;IFERROR(INDEX('Agenda 2026'!$B$2:$B$376,MATCH(DATE(2026,3,18)*10+10,'Agenda 2026'!$S$2:$S$376,0)),""),"")&amp;IF(COUNTIFS('Agenda 2026'!$Q$2:$Q$376,DATE(2026,3,18),'Agenda 2026'!$M$2:$M$376,1)&gt;=11,CHAR(10)&amp;IFERROR(INDEX('Agenda 2026'!$B$2:$B$376,MATCH(DATE(2026,3,18)*10+11,'Agenda 2026'!$S$2:$S$376,0)),""),"")&amp;IF(COUNTIFS('Agenda 2026'!$Q$2:$Q$376,DATE(2026,3,18),'Agenda 2026'!$M$2:$M$376,1)&gt;=12,CHAR(10)&amp;IFERROR(INDEX('Agenda 2026'!$B$2:$B$376,MATCH(DATE(2026,3,18)*10+12,'Agenda 2026'!$S$2:$S$376,0)),""),"")</f>
        <v>18</v>
      </c>
      <c r="E31" s="58" t="str">
        <f t="array" ref="E31">19&amp;IF(COUNTIFS('Agenda 2026'!$Q$2:$Q$376,DATE(2026,3,19),'Agenda 2026'!$M$2:$M$376,1)&gt;=1,CHAR(10)&amp;IFERROR(INDEX('Agenda 2026'!$B$2:$B$376,MATCH(DATE(2026,3,19)*10+1,'Agenda 2026'!$S$2:$S$376,0)),""),"")&amp;IF(COUNTIFS('Agenda 2026'!$Q$2:$Q$376,DATE(2026,3,19),'Agenda 2026'!$M$2:$M$376,1)&gt;=2,CHAR(10)&amp;IFERROR(INDEX('Agenda 2026'!$B$2:$B$376,MATCH(DATE(2026,3,19)*10+2,'Agenda 2026'!$S$2:$S$376,0)),""),"")&amp;IF(COUNTIFS('Agenda 2026'!$Q$2:$Q$376,DATE(2026,3,19),'Agenda 2026'!$M$2:$M$376,1)&gt;=3,CHAR(10)&amp;IFERROR(INDEX('Agenda 2026'!$B$2:$B$376,MATCH(DATE(2026,3,19)*10+3,'Agenda 2026'!$S$2:$S$376,0)),""),"")&amp;IF(COUNTIFS('Agenda 2026'!$Q$2:$Q$376,DATE(2026,3,19),'Agenda 2026'!$M$2:$M$376,1)&gt;=4,CHAR(10)&amp;IFERROR(INDEX('Agenda 2026'!$B$2:$B$376,MATCH(DATE(2026,3,19)*10+4,'Agenda 2026'!$S$2:$S$376,0)),""),"")&amp;IF(COUNTIFS('Agenda 2026'!$Q$2:$Q$376,DATE(2026,3,19),'Agenda 2026'!$M$2:$M$376,1)&gt;=5,CHAR(10)&amp;IFERROR(INDEX('Agenda 2026'!$B$2:$B$376,MATCH(DATE(2026,3,19)*10+5,'Agenda 2026'!$S$2:$S$376,0)),""),"")&amp;IF(COUNTIFS('Agenda 2026'!$Q$2:$Q$376,DATE(2026,3,19),'Agenda 2026'!$M$2:$M$376,1)&gt;=6,CHAR(10)&amp;IFERROR(INDEX('Agenda 2026'!$B$2:$B$376,MATCH(DATE(2026,3,19)*10+6,'Agenda 2026'!$S$2:$S$376,0)),""),"")&amp;IF(COUNTIFS('Agenda 2026'!$Q$2:$Q$376,DATE(2026,3,19),'Agenda 2026'!$M$2:$M$376,1)&gt;=7,CHAR(10)&amp;IFERROR(INDEX('Agenda 2026'!$B$2:$B$376,MATCH(DATE(2026,3,19)*10+7,'Agenda 2026'!$S$2:$S$376,0)),""),"")&amp;IF(COUNTIFS('Agenda 2026'!$Q$2:$Q$376,DATE(2026,3,19),'Agenda 2026'!$M$2:$M$376,1)&gt;=8,CHAR(10)&amp;IFERROR(INDEX('Agenda 2026'!$B$2:$B$376,MATCH(DATE(2026,3,19)*10+8,'Agenda 2026'!$S$2:$S$376,0)),""),"")&amp;IF(COUNTIFS('Agenda 2026'!$Q$2:$Q$376,DATE(2026,3,19),'Agenda 2026'!$M$2:$M$376,1)&gt;=9,CHAR(10)&amp;IFERROR(INDEX('Agenda 2026'!$B$2:$B$376,MATCH(DATE(2026,3,19)*10+9,'Agenda 2026'!$S$2:$S$376,0)),""),"")&amp;IF(COUNTIFS('Agenda 2026'!$Q$2:$Q$376,DATE(2026,3,19),'Agenda 2026'!$M$2:$M$376,1)&gt;=10,CHAR(10)&amp;IFERROR(INDEX('Agenda 2026'!$B$2:$B$376,MATCH(DATE(2026,3,19)*10+10,'Agenda 2026'!$S$2:$S$376,0)),""),"")&amp;IF(COUNTIFS('Agenda 2026'!$Q$2:$Q$376,DATE(2026,3,19),'Agenda 2026'!$M$2:$M$376,1)&gt;=11,CHAR(10)&amp;IFERROR(INDEX('Agenda 2026'!$B$2:$B$376,MATCH(DATE(2026,3,19)*10+11,'Agenda 2026'!$S$2:$S$376,0)),""),"")&amp;IF(COUNTIFS('Agenda 2026'!$Q$2:$Q$376,DATE(2026,3,19),'Agenda 2026'!$M$2:$M$376,1)&gt;=12,CHAR(10)&amp;IFERROR(INDEX('Agenda 2026'!$B$2:$B$376,MATCH(DATE(2026,3,19)*10+12,'Agenda 2026'!$S$2:$S$376,0)),""),"")</f>
        <v>19</v>
      </c>
      <c r="F31" s="58" t="str">
        <f t="array" ref="F31">20&amp;IF(COUNTIFS('Agenda 2026'!$Q$2:$Q$376,DATE(2026,3,20),'Agenda 2026'!$M$2:$M$376,1)&gt;=1,CHAR(10)&amp;IFERROR(INDEX('Agenda 2026'!$B$2:$B$376,MATCH(DATE(2026,3,20)*10+1,'Agenda 2026'!$S$2:$S$376,0)),""),"")&amp;IF(COUNTIFS('Agenda 2026'!$Q$2:$Q$376,DATE(2026,3,20),'Agenda 2026'!$M$2:$M$376,1)&gt;=2,CHAR(10)&amp;IFERROR(INDEX('Agenda 2026'!$B$2:$B$376,MATCH(DATE(2026,3,20)*10+2,'Agenda 2026'!$S$2:$S$376,0)),""),"")&amp;IF(COUNTIFS('Agenda 2026'!$Q$2:$Q$376,DATE(2026,3,20),'Agenda 2026'!$M$2:$M$376,1)&gt;=3,CHAR(10)&amp;IFERROR(INDEX('Agenda 2026'!$B$2:$B$376,MATCH(DATE(2026,3,20)*10+3,'Agenda 2026'!$S$2:$S$376,0)),""),"")&amp;IF(COUNTIFS('Agenda 2026'!$Q$2:$Q$376,DATE(2026,3,20),'Agenda 2026'!$M$2:$M$376,1)&gt;=4,CHAR(10)&amp;IFERROR(INDEX('Agenda 2026'!$B$2:$B$376,MATCH(DATE(2026,3,20)*10+4,'Agenda 2026'!$S$2:$S$376,0)),""),"")&amp;IF(COUNTIFS('Agenda 2026'!$Q$2:$Q$376,DATE(2026,3,20),'Agenda 2026'!$M$2:$M$376,1)&gt;=5,CHAR(10)&amp;IFERROR(INDEX('Agenda 2026'!$B$2:$B$376,MATCH(DATE(2026,3,20)*10+5,'Agenda 2026'!$S$2:$S$376,0)),""),"")&amp;IF(COUNTIFS('Agenda 2026'!$Q$2:$Q$376,DATE(2026,3,20),'Agenda 2026'!$M$2:$M$376,1)&gt;=6,CHAR(10)&amp;IFERROR(INDEX('Agenda 2026'!$B$2:$B$376,MATCH(DATE(2026,3,20)*10+6,'Agenda 2026'!$S$2:$S$376,0)),""),"")&amp;IF(COUNTIFS('Agenda 2026'!$Q$2:$Q$376,DATE(2026,3,20),'Agenda 2026'!$M$2:$M$376,1)&gt;=7,CHAR(10)&amp;IFERROR(INDEX('Agenda 2026'!$B$2:$B$376,MATCH(DATE(2026,3,20)*10+7,'Agenda 2026'!$S$2:$S$376,0)),""),"")&amp;IF(COUNTIFS('Agenda 2026'!$Q$2:$Q$376,DATE(2026,3,20),'Agenda 2026'!$M$2:$M$376,1)&gt;=8,CHAR(10)&amp;IFERROR(INDEX('Agenda 2026'!$B$2:$B$376,MATCH(DATE(2026,3,20)*10+8,'Agenda 2026'!$S$2:$S$376,0)),""),"")&amp;IF(COUNTIFS('Agenda 2026'!$Q$2:$Q$376,DATE(2026,3,20),'Agenda 2026'!$M$2:$M$376,1)&gt;=9,CHAR(10)&amp;IFERROR(INDEX('Agenda 2026'!$B$2:$B$376,MATCH(DATE(2026,3,20)*10+9,'Agenda 2026'!$S$2:$S$376,0)),""),"")&amp;IF(COUNTIFS('Agenda 2026'!$Q$2:$Q$376,DATE(2026,3,20),'Agenda 2026'!$M$2:$M$376,1)&gt;=10,CHAR(10)&amp;IFERROR(INDEX('Agenda 2026'!$B$2:$B$376,MATCH(DATE(2026,3,20)*10+10,'Agenda 2026'!$S$2:$S$376,0)),""),"")&amp;IF(COUNTIFS('Agenda 2026'!$Q$2:$Q$376,DATE(2026,3,20),'Agenda 2026'!$M$2:$M$376,1)&gt;=11,CHAR(10)&amp;IFERROR(INDEX('Agenda 2026'!$B$2:$B$376,MATCH(DATE(2026,3,20)*10+11,'Agenda 2026'!$S$2:$S$376,0)),""),"")&amp;IF(COUNTIFS('Agenda 2026'!$Q$2:$Q$376,DATE(2026,3,20),'Agenda 2026'!$M$2:$M$376,1)&gt;=12,CHAR(10)&amp;IFERROR(INDEX('Agenda 2026'!$B$2:$B$376,MATCH(DATE(2026,3,20)*10+12,'Agenda 2026'!$S$2:$S$376,0)),""),"")</f>
        <v>20</v>
      </c>
      <c r="G31" s="58" t="str">
        <f t="array" ref="G31">21&amp;IF(COUNTIFS('Agenda 2026'!$Q$2:$Q$376,DATE(2026,3,21),'Agenda 2026'!$M$2:$M$376,1)&gt;=1,CHAR(10)&amp;IFERROR(INDEX('Agenda 2026'!$B$2:$B$376,MATCH(DATE(2026,3,21)*10+1,'Agenda 2026'!$S$2:$S$376,0)),""),"")&amp;IF(COUNTIFS('Agenda 2026'!$Q$2:$Q$376,DATE(2026,3,21),'Agenda 2026'!$M$2:$M$376,1)&gt;=2,CHAR(10)&amp;IFERROR(INDEX('Agenda 2026'!$B$2:$B$376,MATCH(DATE(2026,3,21)*10+2,'Agenda 2026'!$S$2:$S$376,0)),""),"")&amp;IF(COUNTIFS('Agenda 2026'!$Q$2:$Q$376,DATE(2026,3,21),'Agenda 2026'!$M$2:$M$376,1)&gt;=3,CHAR(10)&amp;IFERROR(INDEX('Agenda 2026'!$B$2:$B$376,MATCH(DATE(2026,3,21)*10+3,'Agenda 2026'!$S$2:$S$376,0)),""),"")&amp;IF(COUNTIFS('Agenda 2026'!$Q$2:$Q$376,DATE(2026,3,21),'Agenda 2026'!$M$2:$M$376,1)&gt;=4,CHAR(10)&amp;IFERROR(INDEX('Agenda 2026'!$B$2:$B$376,MATCH(DATE(2026,3,21)*10+4,'Agenda 2026'!$S$2:$S$376,0)),""),"")&amp;IF(COUNTIFS('Agenda 2026'!$Q$2:$Q$376,DATE(2026,3,21),'Agenda 2026'!$M$2:$M$376,1)&gt;=5,CHAR(10)&amp;IFERROR(INDEX('Agenda 2026'!$B$2:$B$376,MATCH(DATE(2026,3,21)*10+5,'Agenda 2026'!$S$2:$S$376,0)),""),"")&amp;IF(COUNTIFS('Agenda 2026'!$Q$2:$Q$376,DATE(2026,3,21),'Agenda 2026'!$M$2:$M$376,1)&gt;=6,CHAR(10)&amp;IFERROR(INDEX('Agenda 2026'!$B$2:$B$376,MATCH(DATE(2026,3,21)*10+6,'Agenda 2026'!$S$2:$S$376,0)),""),"")&amp;IF(COUNTIFS('Agenda 2026'!$Q$2:$Q$376,DATE(2026,3,21),'Agenda 2026'!$M$2:$M$376,1)&gt;=7,CHAR(10)&amp;IFERROR(INDEX('Agenda 2026'!$B$2:$B$376,MATCH(DATE(2026,3,21)*10+7,'Agenda 2026'!$S$2:$S$376,0)),""),"")&amp;IF(COUNTIFS('Agenda 2026'!$Q$2:$Q$376,DATE(2026,3,21),'Agenda 2026'!$M$2:$M$376,1)&gt;=8,CHAR(10)&amp;IFERROR(INDEX('Agenda 2026'!$B$2:$B$376,MATCH(DATE(2026,3,21)*10+8,'Agenda 2026'!$S$2:$S$376,0)),""),"")&amp;IF(COUNTIFS('Agenda 2026'!$Q$2:$Q$376,DATE(2026,3,21),'Agenda 2026'!$M$2:$M$376,1)&gt;=9,CHAR(10)&amp;IFERROR(INDEX('Agenda 2026'!$B$2:$B$376,MATCH(DATE(2026,3,21)*10+9,'Agenda 2026'!$S$2:$S$376,0)),""),"")&amp;IF(COUNTIFS('Agenda 2026'!$Q$2:$Q$376,DATE(2026,3,21),'Agenda 2026'!$M$2:$M$376,1)&gt;=10,CHAR(10)&amp;IFERROR(INDEX('Agenda 2026'!$B$2:$B$376,MATCH(DATE(2026,3,21)*10+10,'Agenda 2026'!$S$2:$S$376,0)),""),"")&amp;IF(COUNTIFS('Agenda 2026'!$Q$2:$Q$376,DATE(2026,3,21),'Agenda 2026'!$M$2:$M$376,1)&gt;=11,CHAR(10)&amp;IFERROR(INDEX('Agenda 2026'!$B$2:$B$376,MATCH(DATE(2026,3,21)*10+11,'Agenda 2026'!$S$2:$S$376,0)),""),"")&amp;IF(COUNTIFS('Agenda 2026'!$Q$2:$Q$376,DATE(2026,3,21),'Agenda 2026'!$M$2:$M$376,1)&gt;=12,CHAR(10)&amp;IFERROR(INDEX('Agenda 2026'!$B$2:$B$376,MATCH(DATE(2026,3,21)*10+12,'Agenda 2026'!$S$2:$S$376,0)),""),"")</f>
        <v>21</v>
      </c>
      <c r="H31" s="58" t="str">
        <f t="array" ref="H31">22&amp;IF(COUNTIFS('Agenda 2026'!$Q$2:$Q$376,DATE(2026,3,22),'Agenda 2026'!$M$2:$M$376,1)&gt;=1,CHAR(10)&amp;IFERROR(INDEX('Agenda 2026'!$B$2:$B$376,MATCH(DATE(2026,3,22)*10+1,'Agenda 2026'!$S$2:$S$376,0)),""),"")&amp;IF(COUNTIFS('Agenda 2026'!$Q$2:$Q$376,DATE(2026,3,22),'Agenda 2026'!$M$2:$M$376,1)&gt;=2,CHAR(10)&amp;IFERROR(INDEX('Agenda 2026'!$B$2:$B$376,MATCH(DATE(2026,3,22)*10+2,'Agenda 2026'!$S$2:$S$376,0)),""),"")&amp;IF(COUNTIFS('Agenda 2026'!$Q$2:$Q$376,DATE(2026,3,22),'Agenda 2026'!$M$2:$M$376,1)&gt;=3,CHAR(10)&amp;IFERROR(INDEX('Agenda 2026'!$B$2:$B$376,MATCH(DATE(2026,3,22)*10+3,'Agenda 2026'!$S$2:$S$376,0)),""),"")&amp;IF(COUNTIFS('Agenda 2026'!$Q$2:$Q$376,DATE(2026,3,22),'Agenda 2026'!$M$2:$M$376,1)&gt;=4,CHAR(10)&amp;IFERROR(INDEX('Agenda 2026'!$B$2:$B$376,MATCH(DATE(2026,3,22)*10+4,'Agenda 2026'!$S$2:$S$376,0)),""),"")&amp;IF(COUNTIFS('Agenda 2026'!$Q$2:$Q$376,DATE(2026,3,22),'Agenda 2026'!$M$2:$M$376,1)&gt;=5,CHAR(10)&amp;IFERROR(INDEX('Agenda 2026'!$B$2:$B$376,MATCH(DATE(2026,3,22)*10+5,'Agenda 2026'!$S$2:$S$376,0)),""),"")&amp;IF(COUNTIFS('Agenda 2026'!$Q$2:$Q$376,DATE(2026,3,22),'Agenda 2026'!$M$2:$M$376,1)&gt;=6,CHAR(10)&amp;IFERROR(INDEX('Agenda 2026'!$B$2:$B$376,MATCH(DATE(2026,3,22)*10+6,'Agenda 2026'!$S$2:$S$376,0)),""),"")&amp;IF(COUNTIFS('Agenda 2026'!$Q$2:$Q$376,DATE(2026,3,22),'Agenda 2026'!$M$2:$M$376,1)&gt;=7,CHAR(10)&amp;IFERROR(INDEX('Agenda 2026'!$B$2:$B$376,MATCH(DATE(2026,3,22)*10+7,'Agenda 2026'!$S$2:$S$376,0)),""),"")&amp;IF(COUNTIFS('Agenda 2026'!$Q$2:$Q$376,DATE(2026,3,22),'Agenda 2026'!$M$2:$M$376,1)&gt;=8,CHAR(10)&amp;IFERROR(INDEX('Agenda 2026'!$B$2:$B$376,MATCH(DATE(2026,3,22)*10+8,'Agenda 2026'!$S$2:$S$376,0)),""),"")&amp;IF(COUNTIFS('Agenda 2026'!$Q$2:$Q$376,DATE(2026,3,22),'Agenda 2026'!$M$2:$M$376,1)&gt;=9,CHAR(10)&amp;IFERROR(INDEX('Agenda 2026'!$B$2:$B$376,MATCH(DATE(2026,3,22)*10+9,'Agenda 2026'!$S$2:$S$376,0)),""),"")&amp;IF(COUNTIFS('Agenda 2026'!$Q$2:$Q$376,DATE(2026,3,22),'Agenda 2026'!$M$2:$M$376,1)&gt;=10,CHAR(10)&amp;IFERROR(INDEX('Agenda 2026'!$B$2:$B$376,MATCH(DATE(2026,3,22)*10+10,'Agenda 2026'!$S$2:$S$376,0)),""),"")&amp;IF(COUNTIFS('Agenda 2026'!$Q$2:$Q$376,DATE(2026,3,22),'Agenda 2026'!$M$2:$M$376,1)&gt;=11,CHAR(10)&amp;IFERROR(INDEX('Agenda 2026'!$B$2:$B$376,MATCH(DATE(2026,3,22)*10+11,'Agenda 2026'!$S$2:$S$376,0)),""),"")&amp;IF(COUNTIFS('Agenda 2026'!$Q$2:$Q$376,DATE(2026,3,22),'Agenda 2026'!$M$2:$M$376,1)&gt;=12,CHAR(10)&amp;IFERROR(INDEX('Agenda 2026'!$B$2:$B$376,MATCH(DATE(2026,3,22)*10+12,'Agenda 2026'!$S$2:$S$376,0)),""),"")</f>
        <v>22</v>
      </c>
    </row>
    <row r="32" spans="1:8" ht="45.75" customHeight="1" x14ac:dyDescent="0.35">
      <c r="A32" s="17"/>
      <c r="B32" s="58" t="str">
        <f t="array" ref="B32">23&amp;IF(COUNTIFS('Agenda 2026'!$Q$2:$Q$376,DATE(2026,3,23),'Agenda 2026'!$M$2:$M$376,1)&gt;=1,CHAR(10)&amp;IFERROR(INDEX('Agenda 2026'!$B$2:$B$376,MATCH(DATE(2026,3,23)*10+1,'Agenda 2026'!$S$2:$S$376,0)),""),"")&amp;IF(COUNTIFS('Agenda 2026'!$Q$2:$Q$376,DATE(2026,3,23),'Agenda 2026'!$M$2:$M$376,1)&gt;=2,CHAR(10)&amp;IFERROR(INDEX('Agenda 2026'!$B$2:$B$376,MATCH(DATE(2026,3,23)*10+2,'Agenda 2026'!$S$2:$S$376,0)),""),"")&amp;IF(COUNTIFS('Agenda 2026'!$Q$2:$Q$376,DATE(2026,3,23),'Agenda 2026'!$M$2:$M$376,1)&gt;=3,CHAR(10)&amp;IFERROR(INDEX('Agenda 2026'!$B$2:$B$376,MATCH(DATE(2026,3,23)*10+3,'Agenda 2026'!$S$2:$S$376,0)),""),"")&amp;IF(COUNTIFS('Agenda 2026'!$Q$2:$Q$376,DATE(2026,3,23),'Agenda 2026'!$M$2:$M$376,1)&gt;=4,CHAR(10)&amp;IFERROR(INDEX('Agenda 2026'!$B$2:$B$376,MATCH(DATE(2026,3,23)*10+4,'Agenda 2026'!$S$2:$S$376,0)),""),"")&amp;IF(COUNTIFS('Agenda 2026'!$Q$2:$Q$376,DATE(2026,3,23),'Agenda 2026'!$M$2:$M$376,1)&gt;=5,CHAR(10)&amp;IFERROR(INDEX('Agenda 2026'!$B$2:$B$376,MATCH(DATE(2026,3,23)*10+5,'Agenda 2026'!$S$2:$S$376,0)),""),"")&amp;IF(COUNTIFS('Agenda 2026'!$Q$2:$Q$376,DATE(2026,3,23),'Agenda 2026'!$M$2:$M$376,1)&gt;=6,CHAR(10)&amp;IFERROR(INDEX('Agenda 2026'!$B$2:$B$376,MATCH(DATE(2026,3,23)*10+6,'Agenda 2026'!$S$2:$S$376,0)),""),"")&amp;IF(COUNTIFS('Agenda 2026'!$Q$2:$Q$376,DATE(2026,3,23),'Agenda 2026'!$M$2:$M$376,1)&gt;=7,CHAR(10)&amp;IFERROR(INDEX('Agenda 2026'!$B$2:$B$376,MATCH(DATE(2026,3,23)*10+7,'Agenda 2026'!$S$2:$S$376,0)),""),"")&amp;IF(COUNTIFS('Agenda 2026'!$Q$2:$Q$376,DATE(2026,3,23),'Agenda 2026'!$M$2:$M$376,1)&gt;=8,CHAR(10)&amp;IFERROR(INDEX('Agenda 2026'!$B$2:$B$376,MATCH(DATE(2026,3,23)*10+8,'Agenda 2026'!$S$2:$S$376,0)),""),"")&amp;IF(COUNTIFS('Agenda 2026'!$Q$2:$Q$376,DATE(2026,3,23),'Agenda 2026'!$M$2:$M$376,1)&gt;=9,CHAR(10)&amp;IFERROR(INDEX('Agenda 2026'!$B$2:$B$376,MATCH(DATE(2026,3,23)*10+9,'Agenda 2026'!$S$2:$S$376,0)),""),"")&amp;IF(COUNTIFS('Agenda 2026'!$Q$2:$Q$376,DATE(2026,3,23),'Agenda 2026'!$M$2:$M$376,1)&gt;=10,CHAR(10)&amp;IFERROR(INDEX('Agenda 2026'!$B$2:$B$376,MATCH(DATE(2026,3,23)*10+10,'Agenda 2026'!$S$2:$S$376,0)),""),"")&amp;IF(COUNTIFS('Agenda 2026'!$Q$2:$Q$376,DATE(2026,3,23),'Agenda 2026'!$M$2:$M$376,1)&gt;=11,CHAR(10)&amp;IFERROR(INDEX('Agenda 2026'!$B$2:$B$376,MATCH(DATE(2026,3,23)*10+11,'Agenda 2026'!$S$2:$S$376,0)),""),"")&amp;IF(COUNTIFS('Agenda 2026'!$Q$2:$Q$376,DATE(2026,3,23),'Agenda 2026'!$M$2:$M$376,1)&gt;=12,CHAR(10)&amp;IFERROR(INDEX('Agenda 2026'!$B$2:$B$376,MATCH(DATE(2026,3,23)*10+12,'Agenda 2026'!$S$2:$S$376,0)),""),"")</f>
        <v>23</v>
      </c>
      <c r="C32" s="58" t="str">
        <f t="array" ref="C32">24&amp;IF(COUNTIFS('Agenda 2026'!$Q$2:$Q$376,DATE(2026,3,24),'Agenda 2026'!$M$2:$M$376,1)&gt;=1,CHAR(10)&amp;IFERROR(INDEX('Agenda 2026'!$B$2:$B$376,MATCH(DATE(2026,3,24)*10+1,'Agenda 2026'!$S$2:$S$376,0)),""),"")&amp;IF(COUNTIFS('Agenda 2026'!$Q$2:$Q$376,DATE(2026,3,24),'Agenda 2026'!$M$2:$M$376,1)&gt;=2,CHAR(10)&amp;IFERROR(INDEX('Agenda 2026'!$B$2:$B$376,MATCH(DATE(2026,3,24)*10+2,'Agenda 2026'!$S$2:$S$376,0)),""),"")&amp;IF(COUNTIFS('Agenda 2026'!$Q$2:$Q$376,DATE(2026,3,24),'Agenda 2026'!$M$2:$M$376,1)&gt;=3,CHAR(10)&amp;IFERROR(INDEX('Agenda 2026'!$B$2:$B$376,MATCH(DATE(2026,3,24)*10+3,'Agenda 2026'!$S$2:$S$376,0)),""),"")&amp;IF(COUNTIFS('Agenda 2026'!$Q$2:$Q$376,DATE(2026,3,24),'Agenda 2026'!$M$2:$M$376,1)&gt;=4,CHAR(10)&amp;IFERROR(INDEX('Agenda 2026'!$B$2:$B$376,MATCH(DATE(2026,3,24)*10+4,'Agenda 2026'!$S$2:$S$376,0)),""),"")&amp;IF(COUNTIFS('Agenda 2026'!$Q$2:$Q$376,DATE(2026,3,24),'Agenda 2026'!$M$2:$M$376,1)&gt;=5,CHAR(10)&amp;IFERROR(INDEX('Agenda 2026'!$B$2:$B$376,MATCH(DATE(2026,3,24)*10+5,'Agenda 2026'!$S$2:$S$376,0)),""),"")&amp;IF(COUNTIFS('Agenda 2026'!$Q$2:$Q$376,DATE(2026,3,24),'Agenda 2026'!$M$2:$M$376,1)&gt;=6,CHAR(10)&amp;IFERROR(INDEX('Agenda 2026'!$B$2:$B$376,MATCH(DATE(2026,3,24)*10+6,'Agenda 2026'!$S$2:$S$376,0)),""),"")&amp;IF(COUNTIFS('Agenda 2026'!$Q$2:$Q$376,DATE(2026,3,24),'Agenda 2026'!$M$2:$M$376,1)&gt;=7,CHAR(10)&amp;IFERROR(INDEX('Agenda 2026'!$B$2:$B$376,MATCH(DATE(2026,3,24)*10+7,'Agenda 2026'!$S$2:$S$376,0)),""),"")&amp;IF(COUNTIFS('Agenda 2026'!$Q$2:$Q$376,DATE(2026,3,24),'Agenda 2026'!$M$2:$M$376,1)&gt;=8,CHAR(10)&amp;IFERROR(INDEX('Agenda 2026'!$B$2:$B$376,MATCH(DATE(2026,3,24)*10+8,'Agenda 2026'!$S$2:$S$376,0)),""),"")&amp;IF(COUNTIFS('Agenda 2026'!$Q$2:$Q$376,DATE(2026,3,24),'Agenda 2026'!$M$2:$M$376,1)&gt;=9,CHAR(10)&amp;IFERROR(INDEX('Agenda 2026'!$B$2:$B$376,MATCH(DATE(2026,3,24)*10+9,'Agenda 2026'!$S$2:$S$376,0)),""),"")&amp;IF(COUNTIFS('Agenda 2026'!$Q$2:$Q$376,DATE(2026,3,24),'Agenda 2026'!$M$2:$M$376,1)&gt;=10,CHAR(10)&amp;IFERROR(INDEX('Agenda 2026'!$B$2:$B$376,MATCH(DATE(2026,3,24)*10+10,'Agenda 2026'!$S$2:$S$376,0)),""),"")&amp;IF(COUNTIFS('Agenda 2026'!$Q$2:$Q$376,DATE(2026,3,24),'Agenda 2026'!$M$2:$M$376,1)&gt;=11,CHAR(10)&amp;IFERROR(INDEX('Agenda 2026'!$B$2:$B$376,MATCH(DATE(2026,3,24)*10+11,'Agenda 2026'!$S$2:$S$376,0)),""),"")&amp;IF(COUNTIFS('Agenda 2026'!$Q$2:$Q$376,DATE(2026,3,24),'Agenda 2026'!$M$2:$M$376,1)&gt;=12,CHAR(10)&amp;IFERROR(INDEX('Agenda 2026'!$B$2:$B$376,MATCH(DATE(2026,3,24)*10+12,'Agenda 2026'!$S$2:$S$376,0)),""),"")</f>
        <v>24</v>
      </c>
      <c r="D32" s="58" t="str">
        <f t="array" ref="D32">25&amp;IF(COUNTIFS('Agenda 2026'!$Q$2:$Q$376,DATE(2026,3,25),'Agenda 2026'!$M$2:$M$376,1)&gt;=1,CHAR(10)&amp;IFERROR(INDEX('Agenda 2026'!$B$2:$B$376,MATCH(DATE(2026,3,25)*10+1,'Agenda 2026'!$S$2:$S$376,0)),""),"")&amp;IF(COUNTIFS('Agenda 2026'!$Q$2:$Q$376,DATE(2026,3,25),'Agenda 2026'!$M$2:$M$376,1)&gt;=2,CHAR(10)&amp;IFERROR(INDEX('Agenda 2026'!$B$2:$B$376,MATCH(DATE(2026,3,25)*10+2,'Agenda 2026'!$S$2:$S$376,0)),""),"")&amp;IF(COUNTIFS('Agenda 2026'!$Q$2:$Q$376,DATE(2026,3,25),'Agenda 2026'!$M$2:$M$376,1)&gt;=3,CHAR(10)&amp;IFERROR(INDEX('Agenda 2026'!$B$2:$B$376,MATCH(DATE(2026,3,25)*10+3,'Agenda 2026'!$S$2:$S$376,0)),""),"")&amp;IF(COUNTIFS('Agenda 2026'!$Q$2:$Q$376,DATE(2026,3,25),'Agenda 2026'!$M$2:$M$376,1)&gt;=4,CHAR(10)&amp;IFERROR(INDEX('Agenda 2026'!$B$2:$B$376,MATCH(DATE(2026,3,25)*10+4,'Agenda 2026'!$S$2:$S$376,0)),""),"")&amp;IF(COUNTIFS('Agenda 2026'!$Q$2:$Q$376,DATE(2026,3,25),'Agenda 2026'!$M$2:$M$376,1)&gt;=5,CHAR(10)&amp;IFERROR(INDEX('Agenda 2026'!$B$2:$B$376,MATCH(DATE(2026,3,25)*10+5,'Agenda 2026'!$S$2:$S$376,0)),""),"")&amp;IF(COUNTIFS('Agenda 2026'!$Q$2:$Q$376,DATE(2026,3,25),'Agenda 2026'!$M$2:$M$376,1)&gt;=6,CHAR(10)&amp;IFERROR(INDEX('Agenda 2026'!$B$2:$B$376,MATCH(DATE(2026,3,25)*10+6,'Agenda 2026'!$S$2:$S$376,0)),""),"")&amp;IF(COUNTIFS('Agenda 2026'!$Q$2:$Q$376,DATE(2026,3,25),'Agenda 2026'!$M$2:$M$376,1)&gt;=7,CHAR(10)&amp;IFERROR(INDEX('Agenda 2026'!$B$2:$B$376,MATCH(DATE(2026,3,25)*10+7,'Agenda 2026'!$S$2:$S$376,0)),""),"")&amp;IF(COUNTIFS('Agenda 2026'!$Q$2:$Q$376,DATE(2026,3,25),'Agenda 2026'!$M$2:$M$376,1)&gt;=8,CHAR(10)&amp;IFERROR(INDEX('Agenda 2026'!$B$2:$B$376,MATCH(DATE(2026,3,25)*10+8,'Agenda 2026'!$S$2:$S$376,0)),""),"")&amp;IF(COUNTIFS('Agenda 2026'!$Q$2:$Q$376,DATE(2026,3,25),'Agenda 2026'!$M$2:$M$376,1)&gt;=9,CHAR(10)&amp;IFERROR(INDEX('Agenda 2026'!$B$2:$B$376,MATCH(DATE(2026,3,25)*10+9,'Agenda 2026'!$S$2:$S$376,0)),""),"")&amp;IF(COUNTIFS('Agenda 2026'!$Q$2:$Q$376,DATE(2026,3,25),'Agenda 2026'!$M$2:$M$376,1)&gt;=10,CHAR(10)&amp;IFERROR(INDEX('Agenda 2026'!$B$2:$B$376,MATCH(DATE(2026,3,25)*10+10,'Agenda 2026'!$S$2:$S$376,0)),""),"")&amp;IF(COUNTIFS('Agenda 2026'!$Q$2:$Q$376,DATE(2026,3,25),'Agenda 2026'!$M$2:$M$376,1)&gt;=11,CHAR(10)&amp;IFERROR(INDEX('Agenda 2026'!$B$2:$B$376,MATCH(DATE(2026,3,25)*10+11,'Agenda 2026'!$S$2:$S$376,0)),""),"")&amp;IF(COUNTIFS('Agenda 2026'!$Q$2:$Q$376,DATE(2026,3,25),'Agenda 2026'!$M$2:$M$376,1)&gt;=12,CHAR(10)&amp;IFERROR(INDEX('Agenda 2026'!$B$2:$B$376,MATCH(DATE(2026,3,25)*10+12,'Agenda 2026'!$S$2:$S$376,0)),""),"")</f>
        <v>25</v>
      </c>
      <c r="E32" s="58" t="str">
        <f t="array" ref="E32">26&amp;IF(COUNTIFS('Agenda 2026'!$Q$2:$Q$376,DATE(2026,3,26),'Agenda 2026'!$M$2:$M$376,1)&gt;=1,CHAR(10)&amp;IFERROR(INDEX('Agenda 2026'!$B$2:$B$376,MATCH(DATE(2026,3,26)*10+1,'Agenda 2026'!$S$2:$S$376,0)),""),"")&amp;IF(COUNTIFS('Agenda 2026'!$Q$2:$Q$376,DATE(2026,3,26),'Agenda 2026'!$M$2:$M$376,1)&gt;=2,CHAR(10)&amp;IFERROR(INDEX('Agenda 2026'!$B$2:$B$376,MATCH(DATE(2026,3,26)*10+2,'Agenda 2026'!$S$2:$S$376,0)),""),"")&amp;IF(COUNTIFS('Agenda 2026'!$Q$2:$Q$376,DATE(2026,3,26),'Agenda 2026'!$M$2:$M$376,1)&gt;=3,CHAR(10)&amp;IFERROR(INDEX('Agenda 2026'!$B$2:$B$376,MATCH(DATE(2026,3,26)*10+3,'Agenda 2026'!$S$2:$S$376,0)),""),"")&amp;IF(COUNTIFS('Agenda 2026'!$Q$2:$Q$376,DATE(2026,3,26),'Agenda 2026'!$M$2:$M$376,1)&gt;=4,CHAR(10)&amp;IFERROR(INDEX('Agenda 2026'!$B$2:$B$376,MATCH(DATE(2026,3,26)*10+4,'Agenda 2026'!$S$2:$S$376,0)),""),"")&amp;IF(COUNTIFS('Agenda 2026'!$Q$2:$Q$376,DATE(2026,3,26),'Agenda 2026'!$M$2:$M$376,1)&gt;=5,CHAR(10)&amp;IFERROR(INDEX('Agenda 2026'!$B$2:$B$376,MATCH(DATE(2026,3,26)*10+5,'Agenda 2026'!$S$2:$S$376,0)),""),"")&amp;IF(COUNTIFS('Agenda 2026'!$Q$2:$Q$376,DATE(2026,3,26),'Agenda 2026'!$M$2:$M$376,1)&gt;=6,CHAR(10)&amp;IFERROR(INDEX('Agenda 2026'!$B$2:$B$376,MATCH(DATE(2026,3,26)*10+6,'Agenda 2026'!$S$2:$S$376,0)),""),"")&amp;IF(COUNTIFS('Agenda 2026'!$Q$2:$Q$376,DATE(2026,3,26),'Agenda 2026'!$M$2:$M$376,1)&gt;=7,CHAR(10)&amp;IFERROR(INDEX('Agenda 2026'!$B$2:$B$376,MATCH(DATE(2026,3,26)*10+7,'Agenda 2026'!$S$2:$S$376,0)),""),"")&amp;IF(COUNTIFS('Agenda 2026'!$Q$2:$Q$376,DATE(2026,3,26),'Agenda 2026'!$M$2:$M$376,1)&gt;=8,CHAR(10)&amp;IFERROR(INDEX('Agenda 2026'!$B$2:$B$376,MATCH(DATE(2026,3,26)*10+8,'Agenda 2026'!$S$2:$S$376,0)),""),"")&amp;IF(COUNTIFS('Agenda 2026'!$Q$2:$Q$376,DATE(2026,3,26),'Agenda 2026'!$M$2:$M$376,1)&gt;=9,CHAR(10)&amp;IFERROR(INDEX('Agenda 2026'!$B$2:$B$376,MATCH(DATE(2026,3,26)*10+9,'Agenda 2026'!$S$2:$S$376,0)),""),"")&amp;IF(COUNTIFS('Agenda 2026'!$Q$2:$Q$376,DATE(2026,3,26),'Agenda 2026'!$M$2:$M$376,1)&gt;=10,CHAR(10)&amp;IFERROR(INDEX('Agenda 2026'!$B$2:$B$376,MATCH(DATE(2026,3,26)*10+10,'Agenda 2026'!$S$2:$S$376,0)),""),"")&amp;IF(COUNTIFS('Agenda 2026'!$Q$2:$Q$376,DATE(2026,3,26),'Agenda 2026'!$M$2:$M$376,1)&gt;=11,CHAR(10)&amp;IFERROR(INDEX('Agenda 2026'!$B$2:$B$376,MATCH(DATE(2026,3,26)*10+11,'Agenda 2026'!$S$2:$S$376,0)),""),"")&amp;IF(COUNTIFS('Agenda 2026'!$Q$2:$Q$376,DATE(2026,3,26),'Agenda 2026'!$M$2:$M$376,1)&gt;=12,CHAR(10)&amp;IFERROR(INDEX('Agenda 2026'!$B$2:$B$376,MATCH(DATE(2026,3,26)*10+12,'Agenda 2026'!$S$2:$S$376,0)),""),"")</f>
        <v>26</v>
      </c>
      <c r="F32" s="58" t="str">
        <f t="array" ref="F32">27&amp;IF(COUNTIFS('Agenda 2026'!$Q$2:$Q$376,DATE(2026,3,27),'Agenda 2026'!$M$2:$M$376,1)&gt;=1,CHAR(10)&amp;IFERROR(INDEX('Agenda 2026'!$B$2:$B$376,MATCH(DATE(2026,3,27)*10+1,'Agenda 2026'!$S$2:$S$376,0)),""),"")&amp;IF(COUNTIFS('Agenda 2026'!$Q$2:$Q$376,DATE(2026,3,27),'Agenda 2026'!$M$2:$M$376,1)&gt;=2,CHAR(10)&amp;IFERROR(INDEX('Agenda 2026'!$B$2:$B$376,MATCH(DATE(2026,3,27)*10+2,'Agenda 2026'!$S$2:$S$376,0)),""),"")&amp;IF(COUNTIFS('Agenda 2026'!$Q$2:$Q$376,DATE(2026,3,27),'Agenda 2026'!$M$2:$M$376,1)&gt;=3,CHAR(10)&amp;IFERROR(INDEX('Agenda 2026'!$B$2:$B$376,MATCH(DATE(2026,3,27)*10+3,'Agenda 2026'!$S$2:$S$376,0)),""),"")&amp;IF(COUNTIFS('Agenda 2026'!$Q$2:$Q$376,DATE(2026,3,27),'Agenda 2026'!$M$2:$M$376,1)&gt;=4,CHAR(10)&amp;IFERROR(INDEX('Agenda 2026'!$B$2:$B$376,MATCH(DATE(2026,3,27)*10+4,'Agenda 2026'!$S$2:$S$376,0)),""),"")&amp;IF(COUNTIFS('Agenda 2026'!$Q$2:$Q$376,DATE(2026,3,27),'Agenda 2026'!$M$2:$M$376,1)&gt;=5,CHAR(10)&amp;IFERROR(INDEX('Agenda 2026'!$B$2:$B$376,MATCH(DATE(2026,3,27)*10+5,'Agenda 2026'!$S$2:$S$376,0)),""),"")&amp;IF(COUNTIFS('Agenda 2026'!$Q$2:$Q$376,DATE(2026,3,27),'Agenda 2026'!$M$2:$M$376,1)&gt;=6,CHAR(10)&amp;IFERROR(INDEX('Agenda 2026'!$B$2:$B$376,MATCH(DATE(2026,3,27)*10+6,'Agenda 2026'!$S$2:$S$376,0)),""),"")&amp;IF(COUNTIFS('Agenda 2026'!$Q$2:$Q$376,DATE(2026,3,27),'Agenda 2026'!$M$2:$M$376,1)&gt;=7,CHAR(10)&amp;IFERROR(INDEX('Agenda 2026'!$B$2:$B$376,MATCH(DATE(2026,3,27)*10+7,'Agenda 2026'!$S$2:$S$376,0)),""),"")&amp;IF(COUNTIFS('Agenda 2026'!$Q$2:$Q$376,DATE(2026,3,27),'Agenda 2026'!$M$2:$M$376,1)&gt;=8,CHAR(10)&amp;IFERROR(INDEX('Agenda 2026'!$B$2:$B$376,MATCH(DATE(2026,3,27)*10+8,'Agenda 2026'!$S$2:$S$376,0)),""),"")&amp;IF(COUNTIFS('Agenda 2026'!$Q$2:$Q$376,DATE(2026,3,27),'Agenda 2026'!$M$2:$M$376,1)&gt;=9,CHAR(10)&amp;IFERROR(INDEX('Agenda 2026'!$B$2:$B$376,MATCH(DATE(2026,3,27)*10+9,'Agenda 2026'!$S$2:$S$376,0)),""),"")&amp;IF(COUNTIFS('Agenda 2026'!$Q$2:$Q$376,DATE(2026,3,27),'Agenda 2026'!$M$2:$M$376,1)&gt;=10,CHAR(10)&amp;IFERROR(INDEX('Agenda 2026'!$B$2:$B$376,MATCH(DATE(2026,3,27)*10+10,'Agenda 2026'!$S$2:$S$376,0)),""),"")&amp;IF(COUNTIFS('Agenda 2026'!$Q$2:$Q$376,DATE(2026,3,27),'Agenda 2026'!$M$2:$M$376,1)&gt;=11,CHAR(10)&amp;IFERROR(INDEX('Agenda 2026'!$B$2:$B$376,MATCH(DATE(2026,3,27)*10+11,'Agenda 2026'!$S$2:$S$376,0)),""),"")&amp;IF(COUNTIFS('Agenda 2026'!$Q$2:$Q$376,DATE(2026,3,27),'Agenda 2026'!$M$2:$M$376,1)&gt;=12,CHAR(10)&amp;IFERROR(INDEX('Agenda 2026'!$B$2:$B$376,MATCH(DATE(2026,3,27)*10+12,'Agenda 2026'!$S$2:$S$376,0)),""),"")</f>
        <v>27</v>
      </c>
      <c r="G32" s="58" t="str">
        <f t="array" ref="G32">28&amp;IF(COUNTIFS('Agenda 2026'!$Q$2:$Q$376,DATE(2026,3,28),'Agenda 2026'!$M$2:$M$376,1)&gt;=1,CHAR(10)&amp;IFERROR(INDEX('Agenda 2026'!$B$2:$B$376,MATCH(DATE(2026,3,28)*10+1,'Agenda 2026'!$S$2:$S$376,0)),""),"")&amp;IF(COUNTIFS('Agenda 2026'!$Q$2:$Q$376,DATE(2026,3,28),'Agenda 2026'!$M$2:$M$376,1)&gt;=2,CHAR(10)&amp;IFERROR(INDEX('Agenda 2026'!$B$2:$B$376,MATCH(DATE(2026,3,28)*10+2,'Agenda 2026'!$S$2:$S$376,0)),""),"")&amp;IF(COUNTIFS('Agenda 2026'!$Q$2:$Q$376,DATE(2026,3,28),'Agenda 2026'!$M$2:$M$376,1)&gt;=3,CHAR(10)&amp;IFERROR(INDEX('Agenda 2026'!$B$2:$B$376,MATCH(DATE(2026,3,28)*10+3,'Agenda 2026'!$S$2:$S$376,0)),""),"")&amp;IF(COUNTIFS('Agenda 2026'!$Q$2:$Q$376,DATE(2026,3,28),'Agenda 2026'!$M$2:$M$376,1)&gt;=4,CHAR(10)&amp;IFERROR(INDEX('Agenda 2026'!$B$2:$B$376,MATCH(DATE(2026,3,28)*10+4,'Agenda 2026'!$S$2:$S$376,0)),""),"")&amp;IF(COUNTIFS('Agenda 2026'!$Q$2:$Q$376,DATE(2026,3,28),'Agenda 2026'!$M$2:$M$376,1)&gt;=5,CHAR(10)&amp;IFERROR(INDEX('Agenda 2026'!$B$2:$B$376,MATCH(DATE(2026,3,28)*10+5,'Agenda 2026'!$S$2:$S$376,0)),""),"")&amp;IF(COUNTIFS('Agenda 2026'!$Q$2:$Q$376,DATE(2026,3,28),'Agenda 2026'!$M$2:$M$376,1)&gt;=6,CHAR(10)&amp;IFERROR(INDEX('Agenda 2026'!$B$2:$B$376,MATCH(DATE(2026,3,28)*10+6,'Agenda 2026'!$S$2:$S$376,0)),""),"")&amp;IF(COUNTIFS('Agenda 2026'!$Q$2:$Q$376,DATE(2026,3,28),'Agenda 2026'!$M$2:$M$376,1)&gt;=7,CHAR(10)&amp;IFERROR(INDEX('Agenda 2026'!$B$2:$B$376,MATCH(DATE(2026,3,28)*10+7,'Agenda 2026'!$S$2:$S$376,0)),""),"")&amp;IF(COUNTIFS('Agenda 2026'!$Q$2:$Q$376,DATE(2026,3,28),'Agenda 2026'!$M$2:$M$376,1)&gt;=8,CHAR(10)&amp;IFERROR(INDEX('Agenda 2026'!$B$2:$B$376,MATCH(DATE(2026,3,28)*10+8,'Agenda 2026'!$S$2:$S$376,0)),""),"")&amp;IF(COUNTIFS('Agenda 2026'!$Q$2:$Q$376,DATE(2026,3,28),'Agenda 2026'!$M$2:$M$376,1)&gt;=9,CHAR(10)&amp;IFERROR(INDEX('Agenda 2026'!$B$2:$B$376,MATCH(DATE(2026,3,28)*10+9,'Agenda 2026'!$S$2:$S$376,0)),""),"")&amp;IF(COUNTIFS('Agenda 2026'!$Q$2:$Q$376,DATE(2026,3,28),'Agenda 2026'!$M$2:$M$376,1)&gt;=10,CHAR(10)&amp;IFERROR(INDEX('Agenda 2026'!$B$2:$B$376,MATCH(DATE(2026,3,28)*10+10,'Agenda 2026'!$S$2:$S$376,0)),""),"")&amp;IF(COUNTIFS('Agenda 2026'!$Q$2:$Q$376,DATE(2026,3,28),'Agenda 2026'!$M$2:$M$376,1)&gt;=11,CHAR(10)&amp;IFERROR(INDEX('Agenda 2026'!$B$2:$B$376,MATCH(DATE(2026,3,28)*10+11,'Agenda 2026'!$S$2:$S$376,0)),""),"")&amp;IF(COUNTIFS('Agenda 2026'!$Q$2:$Q$376,DATE(2026,3,28),'Agenda 2026'!$M$2:$M$376,1)&gt;=12,CHAR(10)&amp;IFERROR(INDEX('Agenda 2026'!$B$2:$B$376,MATCH(DATE(2026,3,28)*10+12,'Agenda 2026'!$S$2:$S$376,0)),""),"")</f>
        <v>28</v>
      </c>
      <c r="H32" s="58" t="str">
        <f t="array" ref="H32">29&amp;IF(COUNTIFS('Agenda 2026'!$Q$2:$Q$376,DATE(2026,3,29),'Agenda 2026'!$M$2:$M$376,1)&gt;=1,CHAR(10)&amp;IFERROR(INDEX('Agenda 2026'!$B$2:$B$376,MATCH(DATE(2026,3,29)*10+1,'Agenda 2026'!$S$2:$S$376,0)),""),"")&amp;IF(COUNTIFS('Agenda 2026'!$Q$2:$Q$376,DATE(2026,3,29),'Agenda 2026'!$M$2:$M$376,1)&gt;=2,CHAR(10)&amp;IFERROR(INDEX('Agenda 2026'!$B$2:$B$376,MATCH(DATE(2026,3,29)*10+2,'Agenda 2026'!$S$2:$S$376,0)),""),"")&amp;IF(COUNTIFS('Agenda 2026'!$Q$2:$Q$376,DATE(2026,3,29),'Agenda 2026'!$M$2:$M$376,1)&gt;=3,CHAR(10)&amp;IFERROR(INDEX('Agenda 2026'!$B$2:$B$376,MATCH(DATE(2026,3,29)*10+3,'Agenda 2026'!$S$2:$S$376,0)),""),"")&amp;IF(COUNTIFS('Agenda 2026'!$Q$2:$Q$376,DATE(2026,3,29),'Agenda 2026'!$M$2:$M$376,1)&gt;=4,CHAR(10)&amp;IFERROR(INDEX('Agenda 2026'!$B$2:$B$376,MATCH(DATE(2026,3,29)*10+4,'Agenda 2026'!$S$2:$S$376,0)),""),"")&amp;IF(COUNTIFS('Agenda 2026'!$Q$2:$Q$376,DATE(2026,3,29),'Agenda 2026'!$M$2:$M$376,1)&gt;=5,CHAR(10)&amp;IFERROR(INDEX('Agenda 2026'!$B$2:$B$376,MATCH(DATE(2026,3,29)*10+5,'Agenda 2026'!$S$2:$S$376,0)),""),"")&amp;IF(COUNTIFS('Agenda 2026'!$Q$2:$Q$376,DATE(2026,3,29),'Agenda 2026'!$M$2:$M$376,1)&gt;=6,CHAR(10)&amp;IFERROR(INDEX('Agenda 2026'!$B$2:$B$376,MATCH(DATE(2026,3,29)*10+6,'Agenda 2026'!$S$2:$S$376,0)),""),"")&amp;IF(COUNTIFS('Agenda 2026'!$Q$2:$Q$376,DATE(2026,3,29),'Agenda 2026'!$M$2:$M$376,1)&gt;=7,CHAR(10)&amp;IFERROR(INDEX('Agenda 2026'!$B$2:$B$376,MATCH(DATE(2026,3,29)*10+7,'Agenda 2026'!$S$2:$S$376,0)),""),"")&amp;IF(COUNTIFS('Agenda 2026'!$Q$2:$Q$376,DATE(2026,3,29),'Agenda 2026'!$M$2:$M$376,1)&gt;=8,CHAR(10)&amp;IFERROR(INDEX('Agenda 2026'!$B$2:$B$376,MATCH(DATE(2026,3,29)*10+8,'Agenda 2026'!$S$2:$S$376,0)),""),"")&amp;IF(COUNTIFS('Agenda 2026'!$Q$2:$Q$376,DATE(2026,3,29),'Agenda 2026'!$M$2:$M$376,1)&gt;=9,CHAR(10)&amp;IFERROR(INDEX('Agenda 2026'!$B$2:$B$376,MATCH(DATE(2026,3,29)*10+9,'Agenda 2026'!$S$2:$S$376,0)),""),"")&amp;IF(COUNTIFS('Agenda 2026'!$Q$2:$Q$376,DATE(2026,3,29),'Agenda 2026'!$M$2:$M$376,1)&gt;=10,CHAR(10)&amp;IFERROR(INDEX('Agenda 2026'!$B$2:$B$376,MATCH(DATE(2026,3,29)*10+10,'Agenda 2026'!$S$2:$S$376,0)),""),"")&amp;IF(COUNTIFS('Agenda 2026'!$Q$2:$Q$376,DATE(2026,3,29),'Agenda 2026'!$M$2:$M$376,1)&gt;=11,CHAR(10)&amp;IFERROR(INDEX('Agenda 2026'!$B$2:$B$376,MATCH(DATE(2026,3,29)*10+11,'Agenda 2026'!$S$2:$S$376,0)),""),"")&amp;IF(COUNTIFS('Agenda 2026'!$Q$2:$Q$376,DATE(2026,3,29),'Agenda 2026'!$M$2:$M$376,1)&gt;=12,CHAR(10)&amp;IFERROR(INDEX('Agenda 2026'!$B$2:$B$376,MATCH(DATE(2026,3,29)*10+12,'Agenda 2026'!$S$2:$S$376,0)),""),"")</f>
        <v>29</v>
      </c>
    </row>
    <row r="33" spans="1:8" ht="21.75" customHeight="1" x14ac:dyDescent="0.35">
      <c r="A33" s="17"/>
      <c r="B33" s="58" t="str">
        <f t="array" ref="B33">30&amp;IF(COUNTIFS('Agenda 2026'!$Q$2:$Q$376,DATE(2026,3,30),'Agenda 2026'!$M$2:$M$376,1)&gt;=1,CHAR(10)&amp;IFERROR(INDEX('Agenda 2026'!$B$2:$B$376,MATCH(DATE(2026,3,30)*10+1,'Agenda 2026'!$S$2:$S$376,0)),""),"")&amp;IF(COUNTIFS('Agenda 2026'!$Q$2:$Q$376,DATE(2026,3,30),'Agenda 2026'!$M$2:$M$376,1)&gt;=2,CHAR(10)&amp;IFERROR(INDEX('Agenda 2026'!$B$2:$B$376,MATCH(DATE(2026,3,30)*10+2,'Agenda 2026'!$S$2:$S$376,0)),""),"")&amp;IF(COUNTIFS('Agenda 2026'!$Q$2:$Q$376,DATE(2026,3,30),'Agenda 2026'!$M$2:$M$376,1)&gt;=3,CHAR(10)&amp;IFERROR(INDEX('Agenda 2026'!$B$2:$B$376,MATCH(DATE(2026,3,30)*10+3,'Agenda 2026'!$S$2:$S$376,0)),""),"")&amp;IF(COUNTIFS('Agenda 2026'!$Q$2:$Q$376,DATE(2026,3,30),'Agenda 2026'!$M$2:$M$376,1)&gt;=4,CHAR(10)&amp;IFERROR(INDEX('Agenda 2026'!$B$2:$B$376,MATCH(DATE(2026,3,30)*10+4,'Agenda 2026'!$S$2:$S$376,0)),""),"")&amp;IF(COUNTIFS('Agenda 2026'!$Q$2:$Q$376,DATE(2026,3,30),'Agenda 2026'!$M$2:$M$376,1)&gt;=5,CHAR(10)&amp;IFERROR(INDEX('Agenda 2026'!$B$2:$B$376,MATCH(DATE(2026,3,30)*10+5,'Agenda 2026'!$S$2:$S$376,0)),""),"")&amp;IF(COUNTIFS('Agenda 2026'!$Q$2:$Q$376,DATE(2026,3,30),'Agenda 2026'!$M$2:$M$376,1)&gt;=6,CHAR(10)&amp;IFERROR(INDEX('Agenda 2026'!$B$2:$B$376,MATCH(DATE(2026,3,30)*10+6,'Agenda 2026'!$S$2:$S$376,0)),""),"")&amp;IF(COUNTIFS('Agenda 2026'!$Q$2:$Q$376,DATE(2026,3,30),'Agenda 2026'!$M$2:$M$376,1)&gt;=7,CHAR(10)&amp;IFERROR(INDEX('Agenda 2026'!$B$2:$B$376,MATCH(DATE(2026,3,30)*10+7,'Agenda 2026'!$S$2:$S$376,0)),""),"")&amp;IF(COUNTIFS('Agenda 2026'!$Q$2:$Q$376,DATE(2026,3,30),'Agenda 2026'!$M$2:$M$376,1)&gt;=8,CHAR(10)&amp;IFERROR(INDEX('Agenda 2026'!$B$2:$B$376,MATCH(DATE(2026,3,30)*10+8,'Agenda 2026'!$S$2:$S$376,0)),""),"")&amp;IF(COUNTIFS('Agenda 2026'!$Q$2:$Q$376,DATE(2026,3,30),'Agenda 2026'!$M$2:$M$376,1)&gt;=9,CHAR(10)&amp;IFERROR(INDEX('Agenda 2026'!$B$2:$B$376,MATCH(DATE(2026,3,30)*10+9,'Agenda 2026'!$S$2:$S$376,0)),""),"")&amp;IF(COUNTIFS('Agenda 2026'!$Q$2:$Q$376,DATE(2026,3,30),'Agenda 2026'!$M$2:$M$376,1)&gt;=10,CHAR(10)&amp;IFERROR(INDEX('Agenda 2026'!$B$2:$B$376,MATCH(DATE(2026,3,30)*10+10,'Agenda 2026'!$S$2:$S$376,0)),""),"")&amp;IF(COUNTIFS('Agenda 2026'!$Q$2:$Q$376,DATE(2026,3,30),'Agenda 2026'!$M$2:$M$376,1)&gt;=11,CHAR(10)&amp;IFERROR(INDEX('Agenda 2026'!$B$2:$B$376,MATCH(DATE(2026,3,30)*10+11,'Agenda 2026'!$S$2:$S$376,0)),""),"")&amp;IF(COUNTIFS('Agenda 2026'!$Q$2:$Q$376,DATE(2026,3,30),'Agenda 2026'!$M$2:$M$376,1)&gt;=12,CHAR(10)&amp;IFERROR(INDEX('Agenda 2026'!$B$2:$B$376,MATCH(DATE(2026,3,30)*10+12,'Agenda 2026'!$S$2:$S$376,0)),""),"")</f>
        <v>30</v>
      </c>
      <c r="C33" s="58" t="str">
        <f t="array" ref="C33">31&amp;IF(COUNTIFS('Agenda 2026'!$Q$2:$Q$376,DATE(2026,3,31),'Agenda 2026'!$M$2:$M$376,1)&gt;=1,CHAR(10)&amp;IFERROR(INDEX('Agenda 2026'!$B$2:$B$376,MATCH(DATE(2026,3,31)*10+1,'Agenda 2026'!$S$2:$S$376,0)),""),"")&amp;IF(COUNTIFS('Agenda 2026'!$Q$2:$Q$376,DATE(2026,3,31),'Agenda 2026'!$M$2:$M$376,1)&gt;=2,CHAR(10)&amp;IFERROR(INDEX('Agenda 2026'!$B$2:$B$376,MATCH(DATE(2026,3,31)*10+2,'Agenda 2026'!$S$2:$S$376,0)),""),"")&amp;IF(COUNTIFS('Agenda 2026'!$Q$2:$Q$376,DATE(2026,3,31),'Agenda 2026'!$M$2:$M$376,1)&gt;=3,CHAR(10)&amp;IFERROR(INDEX('Agenda 2026'!$B$2:$B$376,MATCH(DATE(2026,3,31)*10+3,'Agenda 2026'!$S$2:$S$376,0)),""),"")&amp;IF(COUNTIFS('Agenda 2026'!$Q$2:$Q$376,DATE(2026,3,31),'Agenda 2026'!$M$2:$M$376,1)&gt;=4,CHAR(10)&amp;IFERROR(INDEX('Agenda 2026'!$B$2:$B$376,MATCH(DATE(2026,3,31)*10+4,'Agenda 2026'!$S$2:$S$376,0)),""),"")&amp;IF(COUNTIFS('Agenda 2026'!$Q$2:$Q$376,DATE(2026,3,31),'Agenda 2026'!$M$2:$M$376,1)&gt;=5,CHAR(10)&amp;IFERROR(INDEX('Agenda 2026'!$B$2:$B$376,MATCH(DATE(2026,3,31)*10+5,'Agenda 2026'!$S$2:$S$376,0)),""),"")&amp;IF(COUNTIFS('Agenda 2026'!$Q$2:$Q$376,DATE(2026,3,31),'Agenda 2026'!$M$2:$M$376,1)&gt;=6,CHAR(10)&amp;IFERROR(INDEX('Agenda 2026'!$B$2:$B$376,MATCH(DATE(2026,3,31)*10+6,'Agenda 2026'!$S$2:$S$376,0)),""),"")&amp;IF(COUNTIFS('Agenda 2026'!$Q$2:$Q$376,DATE(2026,3,31),'Agenda 2026'!$M$2:$M$376,1)&gt;=7,CHAR(10)&amp;IFERROR(INDEX('Agenda 2026'!$B$2:$B$376,MATCH(DATE(2026,3,31)*10+7,'Agenda 2026'!$S$2:$S$376,0)),""),"")&amp;IF(COUNTIFS('Agenda 2026'!$Q$2:$Q$376,DATE(2026,3,31),'Agenda 2026'!$M$2:$M$376,1)&gt;=8,CHAR(10)&amp;IFERROR(INDEX('Agenda 2026'!$B$2:$B$376,MATCH(DATE(2026,3,31)*10+8,'Agenda 2026'!$S$2:$S$376,0)),""),"")&amp;IF(COUNTIFS('Agenda 2026'!$Q$2:$Q$376,DATE(2026,3,31),'Agenda 2026'!$M$2:$M$376,1)&gt;=9,CHAR(10)&amp;IFERROR(INDEX('Agenda 2026'!$B$2:$B$376,MATCH(DATE(2026,3,31)*10+9,'Agenda 2026'!$S$2:$S$376,0)),""),"")&amp;IF(COUNTIFS('Agenda 2026'!$Q$2:$Q$376,DATE(2026,3,31),'Agenda 2026'!$M$2:$M$376,1)&gt;=10,CHAR(10)&amp;IFERROR(INDEX('Agenda 2026'!$B$2:$B$376,MATCH(DATE(2026,3,31)*10+10,'Agenda 2026'!$S$2:$S$376,0)),""),"")&amp;IF(COUNTIFS('Agenda 2026'!$Q$2:$Q$376,DATE(2026,3,31),'Agenda 2026'!$M$2:$M$376,1)&gt;=11,CHAR(10)&amp;IFERROR(INDEX('Agenda 2026'!$B$2:$B$376,MATCH(DATE(2026,3,31)*10+11,'Agenda 2026'!$S$2:$S$376,0)),""),"")&amp;IF(COUNTIFS('Agenda 2026'!$Q$2:$Q$376,DATE(2026,3,31),'Agenda 2026'!$M$2:$M$376,1)&gt;=12,CHAR(10)&amp;IFERROR(INDEX('Agenda 2026'!$B$2:$B$376,MATCH(DATE(2026,3,31)*10+12,'Agenda 2026'!$S$2:$S$376,0)),""),"")</f>
        <v>31</v>
      </c>
      <c r="D33" s="57"/>
      <c r="E33" s="57"/>
      <c r="F33" s="57"/>
      <c r="G33" s="57"/>
      <c r="H33" s="57"/>
    </row>
    <row r="34" spans="1:8" ht="21.75" customHeight="1" x14ac:dyDescent="0.35">
      <c r="A34" s="17"/>
      <c r="B34" s="59"/>
      <c r="C34" s="59"/>
      <c r="D34" s="59"/>
      <c r="E34" s="59"/>
      <c r="F34" s="59"/>
      <c r="G34" s="59"/>
      <c r="H34" s="59"/>
    </row>
    <row r="35" spans="1:8" ht="21.75" customHeight="1" x14ac:dyDescent="0.35">
      <c r="A35" s="17"/>
      <c r="B35" s="59"/>
      <c r="C35" s="59"/>
      <c r="D35" s="59"/>
      <c r="E35" s="59"/>
      <c r="F35" s="59"/>
      <c r="G35" s="59"/>
      <c r="H35" s="59"/>
    </row>
    <row r="36" spans="1:8" ht="21.75" customHeight="1" x14ac:dyDescent="0.35">
      <c r="A36" s="17"/>
      <c r="B36" s="10" t="s">
        <v>67</v>
      </c>
      <c r="C36" s="10"/>
      <c r="D36" s="10"/>
      <c r="E36" s="10"/>
      <c r="F36" s="10"/>
      <c r="G36" s="10"/>
      <c r="H36" s="10"/>
    </row>
    <row r="37" spans="1:8" ht="15.75" customHeight="1" x14ac:dyDescent="0.35">
      <c r="A37" s="17"/>
      <c r="B37" s="56" t="s">
        <v>58</v>
      </c>
      <c r="C37" s="56" t="s">
        <v>59</v>
      </c>
      <c r="D37" s="56" t="s">
        <v>60</v>
      </c>
      <c r="E37" s="56" t="s">
        <v>61</v>
      </c>
      <c r="F37" s="56" t="s">
        <v>62</v>
      </c>
      <c r="G37" s="56" t="s">
        <v>63</v>
      </c>
      <c r="H37" s="56" t="s">
        <v>64</v>
      </c>
    </row>
    <row r="38" spans="1:8" ht="33.75" customHeight="1" x14ac:dyDescent="0.35">
      <c r="A38" s="17"/>
      <c r="B38" s="57"/>
      <c r="C38" s="57"/>
      <c r="D38" s="58" t="str">
        <f t="array" ref="D38">1&amp;IF(COUNTIFS('Agenda 2026'!$Q$2:$Q$376,DATE(2026,4,1),'Agenda 2026'!$M$2:$M$376,1)&gt;=1,CHAR(10)&amp;IFERROR(INDEX('Agenda 2026'!$B$2:$B$376,MATCH(DATE(2026,4,1)*10+1,'Agenda 2026'!$S$2:$S$376,0)),""),"")&amp;IF(COUNTIFS('Agenda 2026'!$Q$2:$Q$376,DATE(2026,4,1),'Agenda 2026'!$M$2:$M$376,1)&gt;=2,CHAR(10)&amp;IFERROR(INDEX('Agenda 2026'!$B$2:$B$376,MATCH(DATE(2026,4,1)*10+2,'Agenda 2026'!$S$2:$S$376,0)),""),"")&amp;IF(COUNTIFS('Agenda 2026'!$Q$2:$Q$376,DATE(2026,4,1),'Agenda 2026'!$M$2:$M$376,1)&gt;=3,CHAR(10)&amp;IFERROR(INDEX('Agenda 2026'!$B$2:$B$376,MATCH(DATE(2026,4,1)*10+3,'Agenda 2026'!$S$2:$S$376,0)),""),"")&amp;IF(COUNTIFS('Agenda 2026'!$Q$2:$Q$376,DATE(2026,4,1),'Agenda 2026'!$M$2:$M$376,1)&gt;=4,CHAR(10)&amp;IFERROR(INDEX('Agenda 2026'!$B$2:$B$376,MATCH(DATE(2026,4,1)*10+4,'Agenda 2026'!$S$2:$S$376,0)),""),"")&amp;IF(COUNTIFS('Agenda 2026'!$Q$2:$Q$376,DATE(2026,4,1),'Agenda 2026'!$M$2:$M$376,1)&gt;=5,CHAR(10)&amp;IFERROR(INDEX('Agenda 2026'!$B$2:$B$376,MATCH(DATE(2026,4,1)*10+5,'Agenda 2026'!$S$2:$S$376,0)),""),"")&amp;IF(COUNTIFS('Agenda 2026'!$Q$2:$Q$376,DATE(2026,4,1),'Agenda 2026'!$M$2:$M$376,1)&gt;=6,CHAR(10)&amp;IFERROR(INDEX('Agenda 2026'!$B$2:$B$376,MATCH(DATE(2026,4,1)*10+6,'Agenda 2026'!$S$2:$S$376,0)),""),"")&amp;IF(COUNTIFS('Agenda 2026'!$Q$2:$Q$376,DATE(2026,4,1),'Agenda 2026'!$M$2:$M$376,1)&gt;=7,CHAR(10)&amp;IFERROR(INDEX('Agenda 2026'!$B$2:$B$376,MATCH(DATE(2026,4,1)*10+7,'Agenda 2026'!$S$2:$S$376,0)),""),"")&amp;IF(COUNTIFS('Agenda 2026'!$Q$2:$Q$376,DATE(2026,4,1),'Agenda 2026'!$M$2:$M$376,1)&gt;=8,CHAR(10)&amp;IFERROR(INDEX('Agenda 2026'!$B$2:$B$376,MATCH(DATE(2026,4,1)*10+8,'Agenda 2026'!$S$2:$S$376,0)),""),"")&amp;IF(COUNTIFS('Agenda 2026'!$Q$2:$Q$376,DATE(2026,4,1),'Agenda 2026'!$M$2:$M$376,1)&gt;=9,CHAR(10)&amp;IFERROR(INDEX('Agenda 2026'!$B$2:$B$376,MATCH(DATE(2026,4,1)*10+9,'Agenda 2026'!$S$2:$S$376,0)),""),"")&amp;IF(COUNTIFS('Agenda 2026'!$Q$2:$Q$376,DATE(2026,4,1),'Agenda 2026'!$M$2:$M$376,1)&gt;=10,CHAR(10)&amp;IFERROR(INDEX('Agenda 2026'!$B$2:$B$376,MATCH(DATE(2026,4,1)*10+10,'Agenda 2026'!$S$2:$S$376,0)),""),"")&amp;IF(COUNTIFS('Agenda 2026'!$Q$2:$Q$376,DATE(2026,4,1),'Agenda 2026'!$M$2:$M$376,1)&gt;=11,CHAR(10)&amp;IFERROR(INDEX('Agenda 2026'!$B$2:$B$376,MATCH(DATE(2026,4,1)*10+11,'Agenda 2026'!$S$2:$S$376,0)),""),"")&amp;IF(COUNTIFS('Agenda 2026'!$Q$2:$Q$376,DATE(2026,4,1),'Agenda 2026'!$M$2:$M$376,1)&gt;=12,CHAR(10)&amp;IFERROR(INDEX('Agenda 2026'!$B$2:$B$376,MATCH(DATE(2026,4,1)*10+12,'Agenda 2026'!$S$2:$S$376,0)),""),"")</f>
        <v>1</v>
      </c>
      <c r="E38" s="58" t="str">
        <f t="array" ref="E38">2&amp;IF(COUNTIFS('Agenda 2026'!$Q$2:$Q$376,DATE(2026,4,2),'Agenda 2026'!$M$2:$M$376,1)&gt;=1,CHAR(10)&amp;IFERROR(INDEX('Agenda 2026'!$B$2:$B$376,MATCH(DATE(2026,4,2)*10+1,'Agenda 2026'!$S$2:$S$376,0)),""),"")&amp;IF(COUNTIFS('Agenda 2026'!$Q$2:$Q$376,DATE(2026,4,2),'Agenda 2026'!$M$2:$M$376,1)&gt;=2,CHAR(10)&amp;IFERROR(INDEX('Agenda 2026'!$B$2:$B$376,MATCH(DATE(2026,4,2)*10+2,'Agenda 2026'!$S$2:$S$376,0)),""),"")&amp;IF(COUNTIFS('Agenda 2026'!$Q$2:$Q$376,DATE(2026,4,2),'Agenda 2026'!$M$2:$M$376,1)&gt;=3,CHAR(10)&amp;IFERROR(INDEX('Agenda 2026'!$B$2:$B$376,MATCH(DATE(2026,4,2)*10+3,'Agenda 2026'!$S$2:$S$376,0)),""),"")&amp;IF(COUNTIFS('Agenda 2026'!$Q$2:$Q$376,DATE(2026,4,2),'Agenda 2026'!$M$2:$M$376,1)&gt;=4,CHAR(10)&amp;IFERROR(INDEX('Agenda 2026'!$B$2:$B$376,MATCH(DATE(2026,4,2)*10+4,'Agenda 2026'!$S$2:$S$376,0)),""),"")&amp;IF(COUNTIFS('Agenda 2026'!$Q$2:$Q$376,DATE(2026,4,2),'Agenda 2026'!$M$2:$M$376,1)&gt;=5,CHAR(10)&amp;IFERROR(INDEX('Agenda 2026'!$B$2:$B$376,MATCH(DATE(2026,4,2)*10+5,'Agenda 2026'!$S$2:$S$376,0)),""),"")&amp;IF(COUNTIFS('Agenda 2026'!$Q$2:$Q$376,DATE(2026,4,2),'Agenda 2026'!$M$2:$M$376,1)&gt;=6,CHAR(10)&amp;IFERROR(INDEX('Agenda 2026'!$B$2:$B$376,MATCH(DATE(2026,4,2)*10+6,'Agenda 2026'!$S$2:$S$376,0)),""),"")&amp;IF(COUNTIFS('Agenda 2026'!$Q$2:$Q$376,DATE(2026,4,2),'Agenda 2026'!$M$2:$M$376,1)&gt;=7,CHAR(10)&amp;IFERROR(INDEX('Agenda 2026'!$B$2:$B$376,MATCH(DATE(2026,4,2)*10+7,'Agenda 2026'!$S$2:$S$376,0)),""),"")&amp;IF(COUNTIFS('Agenda 2026'!$Q$2:$Q$376,DATE(2026,4,2),'Agenda 2026'!$M$2:$M$376,1)&gt;=8,CHAR(10)&amp;IFERROR(INDEX('Agenda 2026'!$B$2:$B$376,MATCH(DATE(2026,4,2)*10+8,'Agenda 2026'!$S$2:$S$376,0)),""),"")&amp;IF(COUNTIFS('Agenda 2026'!$Q$2:$Q$376,DATE(2026,4,2),'Agenda 2026'!$M$2:$M$376,1)&gt;=9,CHAR(10)&amp;IFERROR(INDEX('Agenda 2026'!$B$2:$B$376,MATCH(DATE(2026,4,2)*10+9,'Agenda 2026'!$S$2:$S$376,0)),""),"")&amp;IF(COUNTIFS('Agenda 2026'!$Q$2:$Q$376,DATE(2026,4,2),'Agenda 2026'!$M$2:$M$376,1)&gt;=10,CHAR(10)&amp;IFERROR(INDEX('Agenda 2026'!$B$2:$B$376,MATCH(DATE(2026,4,2)*10+10,'Agenda 2026'!$S$2:$S$376,0)),""),"")&amp;IF(COUNTIFS('Agenda 2026'!$Q$2:$Q$376,DATE(2026,4,2),'Agenda 2026'!$M$2:$M$376,1)&gt;=11,CHAR(10)&amp;IFERROR(INDEX('Agenda 2026'!$B$2:$B$376,MATCH(DATE(2026,4,2)*10+11,'Agenda 2026'!$S$2:$S$376,0)),""),"")&amp;IF(COUNTIFS('Agenda 2026'!$Q$2:$Q$376,DATE(2026,4,2),'Agenda 2026'!$M$2:$M$376,1)&gt;=12,CHAR(10)&amp;IFERROR(INDEX('Agenda 2026'!$B$2:$B$376,MATCH(DATE(2026,4,2)*10+12,'Agenda 2026'!$S$2:$S$376,0)),""),"")</f>
        <v>2</v>
      </c>
      <c r="F38" s="58" t="str">
        <f t="array" ref="F38">3&amp;IF(COUNTIFS('Agenda 2026'!$Q$2:$Q$376,DATE(2026,4,3),'Agenda 2026'!$M$2:$M$376,1)&gt;=1,CHAR(10)&amp;IFERROR(INDEX('Agenda 2026'!$B$2:$B$376,MATCH(DATE(2026,4,3)*10+1,'Agenda 2026'!$S$2:$S$376,0)),""),"")&amp;IF(COUNTIFS('Agenda 2026'!$Q$2:$Q$376,DATE(2026,4,3),'Agenda 2026'!$M$2:$M$376,1)&gt;=2,CHAR(10)&amp;IFERROR(INDEX('Agenda 2026'!$B$2:$B$376,MATCH(DATE(2026,4,3)*10+2,'Agenda 2026'!$S$2:$S$376,0)),""),"")&amp;IF(COUNTIFS('Agenda 2026'!$Q$2:$Q$376,DATE(2026,4,3),'Agenda 2026'!$M$2:$M$376,1)&gt;=3,CHAR(10)&amp;IFERROR(INDEX('Agenda 2026'!$B$2:$B$376,MATCH(DATE(2026,4,3)*10+3,'Agenda 2026'!$S$2:$S$376,0)),""),"")&amp;IF(COUNTIFS('Agenda 2026'!$Q$2:$Q$376,DATE(2026,4,3),'Agenda 2026'!$M$2:$M$376,1)&gt;=4,CHAR(10)&amp;IFERROR(INDEX('Agenda 2026'!$B$2:$B$376,MATCH(DATE(2026,4,3)*10+4,'Agenda 2026'!$S$2:$S$376,0)),""),"")&amp;IF(COUNTIFS('Agenda 2026'!$Q$2:$Q$376,DATE(2026,4,3),'Agenda 2026'!$M$2:$M$376,1)&gt;=5,CHAR(10)&amp;IFERROR(INDEX('Agenda 2026'!$B$2:$B$376,MATCH(DATE(2026,4,3)*10+5,'Agenda 2026'!$S$2:$S$376,0)),""),"")&amp;IF(COUNTIFS('Agenda 2026'!$Q$2:$Q$376,DATE(2026,4,3),'Agenda 2026'!$M$2:$M$376,1)&gt;=6,CHAR(10)&amp;IFERROR(INDEX('Agenda 2026'!$B$2:$B$376,MATCH(DATE(2026,4,3)*10+6,'Agenda 2026'!$S$2:$S$376,0)),""),"")&amp;IF(COUNTIFS('Agenda 2026'!$Q$2:$Q$376,DATE(2026,4,3),'Agenda 2026'!$M$2:$M$376,1)&gt;=7,CHAR(10)&amp;IFERROR(INDEX('Agenda 2026'!$B$2:$B$376,MATCH(DATE(2026,4,3)*10+7,'Agenda 2026'!$S$2:$S$376,0)),""),"")&amp;IF(COUNTIFS('Agenda 2026'!$Q$2:$Q$376,DATE(2026,4,3),'Agenda 2026'!$M$2:$M$376,1)&gt;=8,CHAR(10)&amp;IFERROR(INDEX('Agenda 2026'!$B$2:$B$376,MATCH(DATE(2026,4,3)*10+8,'Agenda 2026'!$S$2:$S$376,0)),""),"")&amp;IF(COUNTIFS('Agenda 2026'!$Q$2:$Q$376,DATE(2026,4,3),'Agenda 2026'!$M$2:$M$376,1)&gt;=9,CHAR(10)&amp;IFERROR(INDEX('Agenda 2026'!$B$2:$B$376,MATCH(DATE(2026,4,3)*10+9,'Agenda 2026'!$S$2:$S$376,0)),""),"")&amp;IF(COUNTIFS('Agenda 2026'!$Q$2:$Q$376,DATE(2026,4,3),'Agenda 2026'!$M$2:$M$376,1)&gt;=10,CHAR(10)&amp;IFERROR(INDEX('Agenda 2026'!$B$2:$B$376,MATCH(DATE(2026,4,3)*10+10,'Agenda 2026'!$S$2:$S$376,0)),""),"")&amp;IF(COUNTIFS('Agenda 2026'!$Q$2:$Q$376,DATE(2026,4,3),'Agenda 2026'!$M$2:$M$376,1)&gt;=11,CHAR(10)&amp;IFERROR(INDEX('Agenda 2026'!$B$2:$B$376,MATCH(DATE(2026,4,3)*10+11,'Agenda 2026'!$S$2:$S$376,0)),""),"")&amp;IF(COUNTIFS('Agenda 2026'!$Q$2:$Q$376,DATE(2026,4,3),'Agenda 2026'!$M$2:$M$376,1)&gt;=12,CHAR(10)&amp;IFERROR(INDEX('Agenda 2026'!$B$2:$B$376,MATCH(DATE(2026,4,3)*10+12,'Agenda 2026'!$S$2:$S$376,0)),""),"")</f>
        <v>3</v>
      </c>
      <c r="G38" s="58" t="str">
        <f t="array" ref="G38">4&amp;IF(COUNTIFS('Agenda 2026'!$Q$2:$Q$376,DATE(2026,4,4),'Agenda 2026'!$M$2:$M$376,1)&gt;=1,CHAR(10)&amp;IFERROR(INDEX('Agenda 2026'!$B$2:$B$376,MATCH(DATE(2026,4,4)*10+1,'Agenda 2026'!$S$2:$S$376,0)),""),"")&amp;IF(COUNTIFS('Agenda 2026'!$Q$2:$Q$376,DATE(2026,4,4),'Agenda 2026'!$M$2:$M$376,1)&gt;=2,CHAR(10)&amp;IFERROR(INDEX('Agenda 2026'!$B$2:$B$376,MATCH(DATE(2026,4,4)*10+2,'Agenda 2026'!$S$2:$S$376,0)),""),"")&amp;IF(COUNTIFS('Agenda 2026'!$Q$2:$Q$376,DATE(2026,4,4),'Agenda 2026'!$M$2:$M$376,1)&gt;=3,CHAR(10)&amp;IFERROR(INDEX('Agenda 2026'!$B$2:$B$376,MATCH(DATE(2026,4,4)*10+3,'Agenda 2026'!$S$2:$S$376,0)),""),"")&amp;IF(COUNTIFS('Agenda 2026'!$Q$2:$Q$376,DATE(2026,4,4),'Agenda 2026'!$M$2:$M$376,1)&gt;=4,CHAR(10)&amp;IFERROR(INDEX('Agenda 2026'!$B$2:$B$376,MATCH(DATE(2026,4,4)*10+4,'Agenda 2026'!$S$2:$S$376,0)),""),"")&amp;IF(COUNTIFS('Agenda 2026'!$Q$2:$Q$376,DATE(2026,4,4),'Agenda 2026'!$M$2:$M$376,1)&gt;=5,CHAR(10)&amp;IFERROR(INDEX('Agenda 2026'!$B$2:$B$376,MATCH(DATE(2026,4,4)*10+5,'Agenda 2026'!$S$2:$S$376,0)),""),"")&amp;IF(COUNTIFS('Agenda 2026'!$Q$2:$Q$376,DATE(2026,4,4),'Agenda 2026'!$M$2:$M$376,1)&gt;=6,CHAR(10)&amp;IFERROR(INDEX('Agenda 2026'!$B$2:$B$376,MATCH(DATE(2026,4,4)*10+6,'Agenda 2026'!$S$2:$S$376,0)),""),"")&amp;IF(COUNTIFS('Agenda 2026'!$Q$2:$Q$376,DATE(2026,4,4),'Agenda 2026'!$M$2:$M$376,1)&gt;=7,CHAR(10)&amp;IFERROR(INDEX('Agenda 2026'!$B$2:$B$376,MATCH(DATE(2026,4,4)*10+7,'Agenda 2026'!$S$2:$S$376,0)),""),"")&amp;IF(COUNTIFS('Agenda 2026'!$Q$2:$Q$376,DATE(2026,4,4),'Agenda 2026'!$M$2:$M$376,1)&gt;=8,CHAR(10)&amp;IFERROR(INDEX('Agenda 2026'!$B$2:$B$376,MATCH(DATE(2026,4,4)*10+8,'Agenda 2026'!$S$2:$S$376,0)),""),"")&amp;IF(COUNTIFS('Agenda 2026'!$Q$2:$Q$376,DATE(2026,4,4),'Agenda 2026'!$M$2:$M$376,1)&gt;=9,CHAR(10)&amp;IFERROR(INDEX('Agenda 2026'!$B$2:$B$376,MATCH(DATE(2026,4,4)*10+9,'Agenda 2026'!$S$2:$S$376,0)),""),"")&amp;IF(COUNTIFS('Agenda 2026'!$Q$2:$Q$376,DATE(2026,4,4),'Agenda 2026'!$M$2:$M$376,1)&gt;=10,CHAR(10)&amp;IFERROR(INDEX('Agenda 2026'!$B$2:$B$376,MATCH(DATE(2026,4,4)*10+10,'Agenda 2026'!$S$2:$S$376,0)),""),"")&amp;IF(COUNTIFS('Agenda 2026'!$Q$2:$Q$376,DATE(2026,4,4),'Agenda 2026'!$M$2:$M$376,1)&gt;=11,CHAR(10)&amp;IFERROR(INDEX('Agenda 2026'!$B$2:$B$376,MATCH(DATE(2026,4,4)*10+11,'Agenda 2026'!$S$2:$S$376,0)),""),"")&amp;IF(COUNTIFS('Agenda 2026'!$Q$2:$Q$376,DATE(2026,4,4),'Agenda 2026'!$M$2:$M$376,1)&gt;=12,CHAR(10)&amp;IFERROR(INDEX('Agenda 2026'!$B$2:$B$376,MATCH(DATE(2026,4,4)*10+12,'Agenda 2026'!$S$2:$S$376,0)),""),"")</f>
        <v>4</v>
      </c>
      <c r="H38" s="58" t="str">
        <f t="array" ref="H38">5&amp;IF(COUNTIFS('Agenda 2026'!$Q$2:$Q$376,DATE(2026,4,5),'Agenda 2026'!$M$2:$M$376,1)&gt;=1,CHAR(10)&amp;IFERROR(INDEX('Agenda 2026'!$B$2:$B$376,MATCH(DATE(2026,4,5)*10+1,'Agenda 2026'!$S$2:$S$376,0)),""),"")&amp;IF(COUNTIFS('Agenda 2026'!$Q$2:$Q$376,DATE(2026,4,5),'Agenda 2026'!$M$2:$M$376,1)&gt;=2,CHAR(10)&amp;IFERROR(INDEX('Agenda 2026'!$B$2:$B$376,MATCH(DATE(2026,4,5)*10+2,'Agenda 2026'!$S$2:$S$376,0)),""),"")&amp;IF(COUNTIFS('Agenda 2026'!$Q$2:$Q$376,DATE(2026,4,5),'Agenda 2026'!$M$2:$M$376,1)&gt;=3,CHAR(10)&amp;IFERROR(INDEX('Agenda 2026'!$B$2:$B$376,MATCH(DATE(2026,4,5)*10+3,'Agenda 2026'!$S$2:$S$376,0)),""),"")&amp;IF(COUNTIFS('Agenda 2026'!$Q$2:$Q$376,DATE(2026,4,5),'Agenda 2026'!$M$2:$M$376,1)&gt;=4,CHAR(10)&amp;IFERROR(INDEX('Agenda 2026'!$B$2:$B$376,MATCH(DATE(2026,4,5)*10+4,'Agenda 2026'!$S$2:$S$376,0)),""),"")&amp;IF(COUNTIFS('Agenda 2026'!$Q$2:$Q$376,DATE(2026,4,5),'Agenda 2026'!$M$2:$M$376,1)&gt;=5,CHAR(10)&amp;IFERROR(INDEX('Agenda 2026'!$B$2:$B$376,MATCH(DATE(2026,4,5)*10+5,'Agenda 2026'!$S$2:$S$376,0)),""),"")&amp;IF(COUNTIFS('Agenda 2026'!$Q$2:$Q$376,DATE(2026,4,5),'Agenda 2026'!$M$2:$M$376,1)&gt;=6,CHAR(10)&amp;IFERROR(INDEX('Agenda 2026'!$B$2:$B$376,MATCH(DATE(2026,4,5)*10+6,'Agenda 2026'!$S$2:$S$376,0)),""),"")&amp;IF(COUNTIFS('Agenda 2026'!$Q$2:$Q$376,DATE(2026,4,5),'Agenda 2026'!$M$2:$M$376,1)&gt;=7,CHAR(10)&amp;IFERROR(INDEX('Agenda 2026'!$B$2:$B$376,MATCH(DATE(2026,4,5)*10+7,'Agenda 2026'!$S$2:$S$376,0)),""),"")&amp;IF(COUNTIFS('Agenda 2026'!$Q$2:$Q$376,DATE(2026,4,5),'Agenda 2026'!$M$2:$M$376,1)&gt;=8,CHAR(10)&amp;IFERROR(INDEX('Agenda 2026'!$B$2:$B$376,MATCH(DATE(2026,4,5)*10+8,'Agenda 2026'!$S$2:$S$376,0)),""),"")&amp;IF(COUNTIFS('Agenda 2026'!$Q$2:$Q$376,DATE(2026,4,5),'Agenda 2026'!$M$2:$M$376,1)&gt;=9,CHAR(10)&amp;IFERROR(INDEX('Agenda 2026'!$B$2:$B$376,MATCH(DATE(2026,4,5)*10+9,'Agenda 2026'!$S$2:$S$376,0)),""),"")&amp;IF(COUNTIFS('Agenda 2026'!$Q$2:$Q$376,DATE(2026,4,5),'Agenda 2026'!$M$2:$M$376,1)&gt;=10,CHAR(10)&amp;IFERROR(INDEX('Agenda 2026'!$B$2:$B$376,MATCH(DATE(2026,4,5)*10+10,'Agenda 2026'!$S$2:$S$376,0)),""),"")&amp;IF(COUNTIFS('Agenda 2026'!$Q$2:$Q$376,DATE(2026,4,5),'Agenda 2026'!$M$2:$M$376,1)&gt;=11,CHAR(10)&amp;IFERROR(INDEX('Agenda 2026'!$B$2:$B$376,MATCH(DATE(2026,4,5)*10+11,'Agenda 2026'!$S$2:$S$376,0)),""),"")&amp;IF(COUNTIFS('Agenda 2026'!$Q$2:$Q$376,DATE(2026,4,5),'Agenda 2026'!$M$2:$M$376,1)&gt;=12,CHAR(10)&amp;IFERROR(INDEX('Agenda 2026'!$B$2:$B$376,MATCH(DATE(2026,4,5)*10+12,'Agenda 2026'!$S$2:$S$376,0)),""),"")</f>
        <v>5</v>
      </c>
    </row>
    <row r="39" spans="1:8" ht="45.75" customHeight="1" x14ac:dyDescent="0.35">
      <c r="A39" s="17"/>
      <c r="B39" s="58" t="str">
        <f t="array" ref="B39">6&amp;IF(COUNTIFS('Agenda 2026'!$Q$2:$Q$376,DATE(2026,4,6),'Agenda 2026'!$M$2:$M$376,1)&gt;=1,CHAR(10)&amp;IFERROR(INDEX('Agenda 2026'!$B$2:$B$376,MATCH(DATE(2026,4,6)*10+1,'Agenda 2026'!$S$2:$S$376,0)),""),"")&amp;IF(COUNTIFS('Agenda 2026'!$Q$2:$Q$376,DATE(2026,4,6),'Agenda 2026'!$M$2:$M$376,1)&gt;=2,CHAR(10)&amp;IFERROR(INDEX('Agenda 2026'!$B$2:$B$376,MATCH(DATE(2026,4,6)*10+2,'Agenda 2026'!$S$2:$S$376,0)),""),"")&amp;IF(COUNTIFS('Agenda 2026'!$Q$2:$Q$376,DATE(2026,4,6),'Agenda 2026'!$M$2:$M$376,1)&gt;=3,CHAR(10)&amp;IFERROR(INDEX('Agenda 2026'!$B$2:$B$376,MATCH(DATE(2026,4,6)*10+3,'Agenda 2026'!$S$2:$S$376,0)),""),"")&amp;IF(COUNTIFS('Agenda 2026'!$Q$2:$Q$376,DATE(2026,4,6),'Agenda 2026'!$M$2:$M$376,1)&gt;=4,CHAR(10)&amp;IFERROR(INDEX('Agenda 2026'!$B$2:$B$376,MATCH(DATE(2026,4,6)*10+4,'Agenda 2026'!$S$2:$S$376,0)),""),"")&amp;IF(COUNTIFS('Agenda 2026'!$Q$2:$Q$376,DATE(2026,4,6),'Agenda 2026'!$M$2:$M$376,1)&gt;=5,CHAR(10)&amp;IFERROR(INDEX('Agenda 2026'!$B$2:$B$376,MATCH(DATE(2026,4,6)*10+5,'Agenda 2026'!$S$2:$S$376,0)),""),"")&amp;IF(COUNTIFS('Agenda 2026'!$Q$2:$Q$376,DATE(2026,4,6),'Agenda 2026'!$M$2:$M$376,1)&gt;=6,CHAR(10)&amp;IFERROR(INDEX('Agenda 2026'!$B$2:$B$376,MATCH(DATE(2026,4,6)*10+6,'Agenda 2026'!$S$2:$S$376,0)),""),"")&amp;IF(COUNTIFS('Agenda 2026'!$Q$2:$Q$376,DATE(2026,4,6),'Agenda 2026'!$M$2:$M$376,1)&gt;=7,CHAR(10)&amp;IFERROR(INDEX('Agenda 2026'!$B$2:$B$376,MATCH(DATE(2026,4,6)*10+7,'Agenda 2026'!$S$2:$S$376,0)),""),"")&amp;IF(COUNTIFS('Agenda 2026'!$Q$2:$Q$376,DATE(2026,4,6),'Agenda 2026'!$M$2:$M$376,1)&gt;=8,CHAR(10)&amp;IFERROR(INDEX('Agenda 2026'!$B$2:$B$376,MATCH(DATE(2026,4,6)*10+8,'Agenda 2026'!$S$2:$S$376,0)),""),"")&amp;IF(COUNTIFS('Agenda 2026'!$Q$2:$Q$376,DATE(2026,4,6),'Agenda 2026'!$M$2:$M$376,1)&gt;=9,CHAR(10)&amp;IFERROR(INDEX('Agenda 2026'!$B$2:$B$376,MATCH(DATE(2026,4,6)*10+9,'Agenda 2026'!$S$2:$S$376,0)),""),"")&amp;IF(COUNTIFS('Agenda 2026'!$Q$2:$Q$376,DATE(2026,4,6),'Agenda 2026'!$M$2:$M$376,1)&gt;=10,CHAR(10)&amp;IFERROR(INDEX('Agenda 2026'!$B$2:$B$376,MATCH(DATE(2026,4,6)*10+10,'Agenda 2026'!$S$2:$S$376,0)),""),"")&amp;IF(COUNTIFS('Agenda 2026'!$Q$2:$Q$376,DATE(2026,4,6),'Agenda 2026'!$M$2:$M$376,1)&gt;=11,CHAR(10)&amp;IFERROR(INDEX('Agenda 2026'!$B$2:$B$376,MATCH(DATE(2026,4,6)*10+11,'Agenda 2026'!$S$2:$S$376,0)),""),"")&amp;IF(COUNTIFS('Agenda 2026'!$Q$2:$Q$376,DATE(2026,4,6),'Agenda 2026'!$M$2:$M$376,1)&gt;=12,CHAR(10)&amp;IFERROR(INDEX('Agenda 2026'!$B$2:$B$376,MATCH(DATE(2026,4,6)*10+12,'Agenda 2026'!$S$2:$S$376,0)),""),"")</f>
        <v>6</v>
      </c>
      <c r="C39" s="58" t="str">
        <f t="array" ref="C39">7&amp;IF(COUNTIFS('Agenda 2026'!$Q$2:$Q$376,DATE(2026,4,7),'Agenda 2026'!$M$2:$M$376,1)&gt;=1,CHAR(10)&amp;IFERROR(INDEX('Agenda 2026'!$B$2:$B$376,MATCH(DATE(2026,4,7)*10+1,'Agenda 2026'!$S$2:$S$376,0)),""),"")&amp;IF(COUNTIFS('Agenda 2026'!$Q$2:$Q$376,DATE(2026,4,7),'Agenda 2026'!$M$2:$M$376,1)&gt;=2,CHAR(10)&amp;IFERROR(INDEX('Agenda 2026'!$B$2:$B$376,MATCH(DATE(2026,4,7)*10+2,'Agenda 2026'!$S$2:$S$376,0)),""),"")&amp;IF(COUNTIFS('Agenda 2026'!$Q$2:$Q$376,DATE(2026,4,7),'Agenda 2026'!$M$2:$M$376,1)&gt;=3,CHAR(10)&amp;IFERROR(INDEX('Agenda 2026'!$B$2:$B$376,MATCH(DATE(2026,4,7)*10+3,'Agenda 2026'!$S$2:$S$376,0)),""),"")&amp;IF(COUNTIFS('Agenda 2026'!$Q$2:$Q$376,DATE(2026,4,7),'Agenda 2026'!$M$2:$M$376,1)&gt;=4,CHAR(10)&amp;IFERROR(INDEX('Agenda 2026'!$B$2:$B$376,MATCH(DATE(2026,4,7)*10+4,'Agenda 2026'!$S$2:$S$376,0)),""),"")&amp;IF(COUNTIFS('Agenda 2026'!$Q$2:$Q$376,DATE(2026,4,7),'Agenda 2026'!$M$2:$M$376,1)&gt;=5,CHAR(10)&amp;IFERROR(INDEX('Agenda 2026'!$B$2:$B$376,MATCH(DATE(2026,4,7)*10+5,'Agenda 2026'!$S$2:$S$376,0)),""),"")&amp;IF(COUNTIFS('Agenda 2026'!$Q$2:$Q$376,DATE(2026,4,7),'Agenda 2026'!$M$2:$M$376,1)&gt;=6,CHAR(10)&amp;IFERROR(INDEX('Agenda 2026'!$B$2:$B$376,MATCH(DATE(2026,4,7)*10+6,'Agenda 2026'!$S$2:$S$376,0)),""),"")&amp;IF(COUNTIFS('Agenda 2026'!$Q$2:$Q$376,DATE(2026,4,7),'Agenda 2026'!$M$2:$M$376,1)&gt;=7,CHAR(10)&amp;IFERROR(INDEX('Agenda 2026'!$B$2:$B$376,MATCH(DATE(2026,4,7)*10+7,'Agenda 2026'!$S$2:$S$376,0)),""),"")&amp;IF(COUNTIFS('Agenda 2026'!$Q$2:$Q$376,DATE(2026,4,7),'Agenda 2026'!$M$2:$M$376,1)&gt;=8,CHAR(10)&amp;IFERROR(INDEX('Agenda 2026'!$B$2:$B$376,MATCH(DATE(2026,4,7)*10+8,'Agenda 2026'!$S$2:$S$376,0)),""),"")&amp;IF(COUNTIFS('Agenda 2026'!$Q$2:$Q$376,DATE(2026,4,7),'Agenda 2026'!$M$2:$M$376,1)&gt;=9,CHAR(10)&amp;IFERROR(INDEX('Agenda 2026'!$B$2:$B$376,MATCH(DATE(2026,4,7)*10+9,'Agenda 2026'!$S$2:$S$376,0)),""),"")&amp;IF(COUNTIFS('Agenda 2026'!$Q$2:$Q$376,DATE(2026,4,7),'Agenda 2026'!$M$2:$M$376,1)&gt;=10,CHAR(10)&amp;IFERROR(INDEX('Agenda 2026'!$B$2:$B$376,MATCH(DATE(2026,4,7)*10+10,'Agenda 2026'!$S$2:$S$376,0)),""),"")&amp;IF(COUNTIFS('Agenda 2026'!$Q$2:$Q$376,DATE(2026,4,7),'Agenda 2026'!$M$2:$M$376,1)&gt;=11,CHAR(10)&amp;IFERROR(INDEX('Agenda 2026'!$B$2:$B$376,MATCH(DATE(2026,4,7)*10+11,'Agenda 2026'!$S$2:$S$376,0)),""),"")&amp;IF(COUNTIFS('Agenda 2026'!$Q$2:$Q$376,DATE(2026,4,7),'Agenda 2026'!$M$2:$M$376,1)&gt;=12,CHAR(10)&amp;IFERROR(INDEX('Agenda 2026'!$B$2:$B$376,MATCH(DATE(2026,4,7)*10+12,'Agenda 2026'!$S$2:$S$376,0)),""),"")</f>
        <v>7</v>
      </c>
      <c r="D39" s="58" t="str">
        <f t="array" ref="D39">8&amp;IF(COUNTIFS('Agenda 2026'!$Q$2:$Q$376,DATE(2026,4,8),'Agenda 2026'!$M$2:$M$376,1)&gt;=1,CHAR(10)&amp;IFERROR(INDEX('Agenda 2026'!$B$2:$B$376,MATCH(DATE(2026,4,8)*10+1,'Agenda 2026'!$S$2:$S$376,0)),""),"")&amp;IF(COUNTIFS('Agenda 2026'!$Q$2:$Q$376,DATE(2026,4,8),'Agenda 2026'!$M$2:$M$376,1)&gt;=2,CHAR(10)&amp;IFERROR(INDEX('Agenda 2026'!$B$2:$B$376,MATCH(DATE(2026,4,8)*10+2,'Agenda 2026'!$S$2:$S$376,0)),""),"")&amp;IF(COUNTIFS('Agenda 2026'!$Q$2:$Q$376,DATE(2026,4,8),'Agenda 2026'!$M$2:$M$376,1)&gt;=3,CHAR(10)&amp;IFERROR(INDEX('Agenda 2026'!$B$2:$B$376,MATCH(DATE(2026,4,8)*10+3,'Agenda 2026'!$S$2:$S$376,0)),""),"")&amp;IF(COUNTIFS('Agenda 2026'!$Q$2:$Q$376,DATE(2026,4,8),'Agenda 2026'!$M$2:$M$376,1)&gt;=4,CHAR(10)&amp;IFERROR(INDEX('Agenda 2026'!$B$2:$B$376,MATCH(DATE(2026,4,8)*10+4,'Agenda 2026'!$S$2:$S$376,0)),""),"")&amp;IF(COUNTIFS('Agenda 2026'!$Q$2:$Q$376,DATE(2026,4,8),'Agenda 2026'!$M$2:$M$376,1)&gt;=5,CHAR(10)&amp;IFERROR(INDEX('Agenda 2026'!$B$2:$B$376,MATCH(DATE(2026,4,8)*10+5,'Agenda 2026'!$S$2:$S$376,0)),""),"")&amp;IF(COUNTIFS('Agenda 2026'!$Q$2:$Q$376,DATE(2026,4,8),'Agenda 2026'!$M$2:$M$376,1)&gt;=6,CHAR(10)&amp;IFERROR(INDEX('Agenda 2026'!$B$2:$B$376,MATCH(DATE(2026,4,8)*10+6,'Agenda 2026'!$S$2:$S$376,0)),""),"")&amp;IF(COUNTIFS('Agenda 2026'!$Q$2:$Q$376,DATE(2026,4,8),'Agenda 2026'!$M$2:$M$376,1)&gt;=7,CHAR(10)&amp;IFERROR(INDEX('Agenda 2026'!$B$2:$B$376,MATCH(DATE(2026,4,8)*10+7,'Agenda 2026'!$S$2:$S$376,0)),""),"")&amp;IF(COUNTIFS('Agenda 2026'!$Q$2:$Q$376,DATE(2026,4,8),'Agenda 2026'!$M$2:$M$376,1)&gt;=8,CHAR(10)&amp;IFERROR(INDEX('Agenda 2026'!$B$2:$B$376,MATCH(DATE(2026,4,8)*10+8,'Agenda 2026'!$S$2:$S$376,0)),""),"")&amp;IF(COUNTIFS('Agenda 2026'!$Q$2:$Q$376,DATE(2026,4,8),'Agenda 2026'!$M$2:$M$376,1)&gt;=9,CHAR(10)&amp;IFERROR(INDEX('Agenda 2026'!$B$2:$B$376,MATCH(DATE(2026,4,8)*10+9,'Agenda 2026'!$S$2:$S$376,0)),""),"")&amp;IF(COUNTIFS('Agenda 2026'!$Q$2:$Q$376,DATE(2026,4,8),'Agenda 2026'!$M$2:$M$376,1)&gt;=10,CHAR(10)&amp;IFERROR(INDEX('Agenda 2026'!$B$2:$B$376,MATCH(DATE(2026,4,8)*10+10,'Agenda 2026'!$S$2:$S$376,0)),""),"")&amp;IF(COUNTIFS('Agenda 2026'!$Q$2:$Q$376,DATE(2026,4,8),'Agenda 2026'!$M$2:$M$376,1)&gt;=11,CHAR(10)&amp;IFERROR(INDEX('Agenda 2026'!$B$2:$B$376,MATCH(DATE(2026,4,8)*10+11,'Agenda 2026'!$S$2:$S$376,0)),""),"")&amp;IF(COUNTIFS('Agenda 2026'!$Q$2:$Q$376,DATE(2026,4,8),'Agenda 2026'!$M$2:$M$376,1)&gt;=12,CHAR(10)&amp;IFERROR(INDEX('Agenda 2026'!$B$2:$B$376,MATCH(DATE(2026,4,8)*10+12,'Agenda 2026'!$S$2:$S$376,0)),""),"")</f>
        <v>8</v>
      </c>
      <c r="E39" s="58" t="str">
        <f t="array" ref="E39">9&amp;IF(COUNTIFS('Agenda 2026'!$Q$2:$Q$376,DATE(2026,4,9),'Agenda 2026'!$M$2:$M$376,1)&gt;=1,CHAR(10)&amp;IFERROR(INDEX('Agenda 2026'!$B$2:$B$376,MATCH(DATE(2026,4,9)*10+1,'Agenda 2026'!$S$2:$S$376,0)),""),"")&amp;IF(COUNTIFS('Agenda 2026'!$Q$2:$Q$376,DATE(2026,4,9),'Agenda 2026'!$M$2:$M$376,1)&gt;=2,CHAR(10)&amp;IFERROR(INDEX('Agenda 2026'!$B$2:$B$376,MATCH(DATE(2026,4,9)*10+2,'Agenda 2026'!$S$2:$S$376,0)),""),"")&amp;IF(COUNTIFS('Agenda 2026'!$Q$2:$Q$376,DATE(2026,4,9),'Agenda 2026'!$M$2:$M$376,1)&gt;=3,CHAR(10)&amp;IFERROR(INDEX('Agenda 2026'!$B$2:$B$376,MATCH(DATE(2026,4,9)*10+3,'Agenda 2026'!$S$2:$S$376,0)),""),"")&amp;IF(COUNTIFS('Agenda 2026'!$Q$2:$Q$376,DATE(2026,4,9),'Agenda 2026'!$M$2:$M$376,1)&gt;=4,CHAR(10)&amp;IFERROR(INDEX('Agenda 2026'!$B$2:$B$376,MATCH(DATE(2026,4,9)*10+4,'Agenda 2026'!$S$2:$S$376,0)),""),"")&amp;IF(COUNTIFS('Agenda 2026'!$Q$2:$Q$376,DATE(2026,4,9),'Agenda 2026'!$M$2:$M$376,1)&gt;=5,CHAR(10)&amp;IFERROR(INDEX('Agenda 2026'!$B$2:$B$376,MATCH(DATE(2026,4,9)*10+5,'Agenda 2026'!$S$2:$S$376,0)),""),"")&amp;IF(COUNTIFS('Agenda 2026'!$Q$2:$Q$376,DATE(2026,4,9),'Agenda 2026'!$M$2:$M$376,1)&gt;=6,CHAR(10)&amp;IFERROR(INDEX('Agenda 2026'!$B$2:$B$376,MATCH(DATE(2026,4,9)*10+6,'Agenda 2026'!$S$2:$S$376,0)),""),"")&amp;IF(COUNTIFS('Agenda 2026'!$Q$2:$Q$376,DATE(2026,4,9),'Agenda 2026'!$M$2:$M$376,1)&gt;=7,CHAR(10)&amp;IFERROR(INDEX('Agenda 2026'!$B$2:$B$376,MATCH(DATE(2026,4,9)*10+7,'Agenda 2026'!$S$2:$S$376,0)),""),"")&amp;IF(COUNTIFS('Agenda 2026'!$Q$2:$Q$376,DATE(2026,4,9),'Agenda 2026'!$M$2:$M$376,1)&gt;=8,CHAR(10)&amp;IFERROR(INDEX('Agenda 2026'!$B$2:$B$376,MATCH(DATE(2026,4,9)*10+8,'Agenda 2026'!$S$2:$S$376,0)),""),"")&amp;IF(COUNTIFS('Agenda 2026'!$Q$2:$Q$376,DATE(2026,4,9),'Agenda 2026'!$M$2:$M$376,1)&gt;=9,CHAR(10)&amp;IFERROR(INDEX('Agenda 2026'!$B$2:$B$376,MATCH(DATE(2026,4,9)*10+9,'Agenda 2026'!$S$2:$S$376,0)),""),"")&amp;IF(COUNTIFS('Agenda 2026'!$Q$2:$Q$376,DATE(2026,4,9),'Agenda 2026'!$M$2:$M$376,1)&gt;=10,CHAR(10)&amp;IFERROR(INDEX('Agenda 2026'!$B$2:$B$376,MATCH(DATE(2026,4,9)*10+10,'Agenda 2026'!$S$2:$S$376,0)),""),"")&amp;IF(COUNTIFS('Agenda 2026'!$Q$2:$Q$376,DATE(2026,4,9),'Agenda 2026'!$M$2:$M$376,1)&gt;=11,CHAR(10)&amp;IFERROR(INDEX('Agenda 2026'!$B$2:$B$376,MATCH(DATE(2026,4,9)*10+11,'Agenda 2026'!$S$2:$S$376,0)),""),"")&amp;IF(COUNTIFS('Agenda 2026'!$Q$2:$Q$376,DATE(2026,4,9),'Agenda 2026'!$M$2:$M$376,1)&gt;=12,CHAR(10)&amp;IFERROR(INDEX('Agenda 2026'!$B$2:$B$376,MATCH(DATE(2026,4,9)*10+12,'Agenda 2026'!$S$2:$S$376,0)),""),"")</f>
        <v>9</v>
      </c>
      <c r="F39" s="58" t="str">
        <f t="array" ref="F39">10&amp;IF(COUNTIFS('Agenda 2026'!$Q$2:$Q$376,DATE(2026,4,10),'Agenda 2026'!$M$2:$M$376,1)&gt;=1,CHAR(10)&amp;IFERROR(INDEX('Agenda 2026'!$B$2:$B$376,MATCH(DATE(2026,4,10)*10+1,'Agenda 2026'!$S$2:$S$376,0)),""),"")&amp;IF(COUNTIFS('Agenda 2026'!$Q$2:$Q$376,DATE(2026,4,10),'Agenda 2026'!$M$2:$M$376,1)&gt;=2,CHAR(10)&amp;IFERROR(INDEX('Agenda 2026'!$B$2:$B$376,MATCH(DATE(2026,4,10)*10+2,'Agenda 2026'!$S$2:$S$376,0)),""),"")&amp;IF(COUNTIFS('Agenda 2026'!$Q$2:$Q$376,DATE(2026,4,10),'Agenda 2026'!$M$2:$M$376,1)&gt;=3,CHAR(10)&amp;IFERROR(INDEX('Agenda 2026'!$B$2:$B$376,MATCH(DATE(2026,4,10)*10+3,'Agenda 2026'!$S$2:$S$376,0)),""),"")&amp;IF(COUNTIFS('Agenda 2026'!$Q$2:$Q$376,DATE(2026,4,10),'Agenda 2026'!$M$2:$M$376,1)&gt;=4,CHAR(10)&amp;IFERROR(INDEX('Agenda 2026'!$B$2:$B$376,MATCH(DATE(2026,4,10)*10+4,'Agenda 2026'!$S$2:$S$376,0)),""),"")&amp;IF(COUNTIFS('Agenda 2026'!$Q$2:$Q$376,DATE(2026,4,10),'Agenda 2026'!$M$2:$M$376,1)&gt;=5,CHAR(10)&amp;IFERROR(INDEX('Agenda 2026'!$B$2:$B$376,MATCH(DATE(2026,4,10)*10+5,'Agenda 2026'!$S$2:$S$376,0)),""),"")&amp;IF(COUNTIFS('Agenda 2026'!$Q$2:$Q$376,DATE(2026,4,10),'Agenda 2026'!$M$2:$M$376,1)&gt;=6,CHAR(10)&amp;IFERROR(INDEX('Agenda 2026'!$B$2:$B$376,MATCH(DATE(2026,4,10)*10+6,'Agenda 2026'!$S$2:$S$376,0)),""),"")&amp;IF(COUNTIFS('Agenda 2026'!$Q$2:$Q$376,DATE(2026,4,10),'Agenda 2026'!$M$2:$M$376,1)&gt;=7,CHAR(10)&amp;IFERROR(INDEX('Agenda 2026'!$B$2:$B$376,MATCH(DATE(2026,4,10)*10+7,'Agenda 2026'!$S$2:$S$376,0)),""),"")&amp;IF(COUNTIFS('Agenda 2026'!$Q$2:$Q$376,DATE(2026,4,10),'Agenda 2026'!$M$2:$M$376,1)&gt;=8,CHAR(10)&amp;IFERROR(INDEX('Agenda 2026'!$B$2:$B$376,MATCH(DATE(2026,4,10)*10+8,'Agenda 2026'!$S$2:$S$376,0)),""),"")&amp;IF(COUNTIFS('Agenda 2026'!$Q$2:$Q$376,DATE(2026,4,10),'Agenda 2026'!$M$2:$M$376,1)&gt;=9,CHAR(10)&amp;IFERROR(INDEX('Agenda 2026'!$B$2:$B$376,MATCH(DATE(2026,4,10)*10+9,'Agenda 2026'!$S$2:$S$376,0)),""),"")&amp;IF(COUNTIFS('Agenda 2026'!$Q$2:$Q$376,DATE(2026,4,10),'Agenda 2026'!$M$2:$M$376,1)&gt;=10,CHAR(10)&amp;IFERROR(INDEX('Agenda 2026'!$B$2:$B$376,MATCH(DATE(2026,4,10)*10+10,'Agenda 2026'!$S$2:$S$376,0)),""),"")&amp;IF(COUNTIFS('Agenda 2026'!$Q$2:$Q$376,DATE(2026,4,10),'Agenda 2026'!$M$2:$M$376,1)&gt;=11,CHAR(10)&amp;IFERROR(INDEX('Agenda 2026'!$B$2:$B$376,MATCH(DATE(2026,4,10)*10+11,'Agenda 2026'!$S$2:$S$376,0)),""),"")&amp;IF(COUNTIFS('Agenda 2026'!$Q$2:$Q$376,DATE(2026,4,10),'Agenda 2026'!$M$2:$M$376,1)&gt;=12,CHAR(10)&amp;IFERROR(INDEX('Agenda 2026'!$B$2:$B$376,MATCH(DATE(2026,4,10)*10+12,'Agenda 2026'!$S$2:$S$376,0)),""),"")</f>
        <v>10</v>
      </c>
      <c r="G39" s="58" t="str">
        <f t="array" ref="G39">11&amp;IF(COUNTIFS('Agenda 2026'!$Q$2:$Q$376,DATE(2026,4,11),'Agenda 2026'!$M$2:$M$376,1)&gt;=1,CHAR(10)&amp;IFERROR(INDEX('Agenda 2026'!$B$2:$B$376,MATCH(DATE(2026,4,11)*10+1,'Agenda 2026'!$S$2:$S$376,0)),""),"")&amp;IF(COUNTIFS('Agenda 2026'!$Q$2:$Q$376,DATE(2026,4,11),'Agenda 2026'!$M$2:$M$376,1)&gt;=2,CHAR(10)&amp;IFERROR(INDEX('Agenda 2026'!$B$2:$B$376,MATCH(DATE(2026,4,11)*10+2,'Agenda 2026'!$S$2:$S$376,0)),""),"")&amp;IF(COUNTIFS('Agenda 2026'!$Q$2:$Q$376,DATE(2026,4,11),'Agenda 2026'!$M$2:$M$376,1)&gt;=3,CHAR(10)&amp;IFERROR(INDEX('Agenda 2026'!$B$2:$B$376,MATCH(DATE(2026,4,11)*10+3,'Agenda 2026'!$S$2:$S$376,0)),""),"")&amp;IF(COUNTIFS('Agenda 2026'!$Q$2:$Q$376,DATE(2026,4,11),'Agenda 2026'!$M$2:$M$376,1)&gt;=4,CHAR(10)&amp;IFERROR(INDEX('Agenda 2026'!$B$2:$B$376,MATCH(DATE(2026,4,11)*10+4,'Agenda 2026'!$S$2:$S$376,0)),""),"")&amp;IF(COUNTIFS('Agenda 2026'!$Q$2:$Q$376,DATE(2026,4,11),'Agenda 2026'!$M$2:$M$376,1)&gt;=5,CHAR(10)&amp;IFERROR(INDEX('Agenda 2026'!$B$2:$B$376,MATCH(DATE(2026,4,11)*10+5,'Agenda 2026'!$S$2:$S$376,0)),""),"")&amp;IF(COUNTIFS('Agenda 2026'!$Q$2:$Q$376,DATE(2026,4,11),'Agenda 2026'!$M$2:$M$376,1)&gt;=6,CHAR(10)&amp;IFERROR(INDEX('Agenda 2026'!$B$2:$B$376,MATCH(DATE(2026,4,11)*10+6,'Agenda 2026'!$S$2:$S$376,0)),""),"")&amp;IF(COUNTIFS('Agenda 2026'!$Q$2:$Q$376,DATE(2026,4,11),'Agenda 2026'!$M$2:$M$376,1)&gt;=7,CHAR(10)&amp;IFERROR(INDEX('Agenda 2026'!$B$2:$B$376,MATCH(DATE(2026,4,11)*10+7,'Agenda 2026'!$S$2:$S$376,0)),""),"")&amp;IF(COUNTIFS('Agenda 2026'!$Q$2:$Q$376,DATE(2026,4,11),'Agenda 2026'!$M$2:$M$376,1)&gt;=8,CHAR(10)&amp;IFERROR(INDEX('Agenda 2026'!$B$2:$B$376,MATCH(DATE(2026,4,11)*10+8,'Agenda 2026'!$S$2:$S$376,0)),""),"")&amp;IF(COUNTIFS('Agenda 2026'!$Q$2:$Q$376,DATE(2026,4,11),'Agenda 2026'!$M$2:$M$376,1)&gt;=9,CHAR(10)&amp;IFERROR(INDEX('Agenda 2026'!$B$2:$B$376,MATCH(DATE(2026,4,11)*10+9,'Agenda 2026'!$S$2:$S$376,0)),""),"")&amp;IF(COUNTIFS('Agenda 2026'!$Q$2:$Q$376,DATE(2026,4,11),'Agenda 2026'!$M$2:$M$376,1)&gt;=10,CHAR(10)&amp;IFERROR(INDEX('Agenda 2026'!$B$2:$B$376,MATCH(DATE(2026,4,11)*10+10,'Agenda 2026'!$S$2:$S$376,0)),""),"")&amp;IF(COUNTIFS('Agenda 2026'!$Q$2:$Q$376,DATE(2026,4,11),'Agenda 2026'!$M$2:$M$376,1)&gt;=11,CHAR(10)&amp;IFERROR(INDEX('Agenda 2026'!$B$2:$B$376,MATCH(DATE(2026,4,11)*10+11,'Agenda 2026'!$S$2:$S$376,0)),""),"")&amp;IF(COUNTIFS('Agenda 2026'!$Q$2:$Q$376,DATE(2026,4,11),'Agenda 2026'!$M$2:$M$376,1)&gt;=12,CHAR(10)&amp;IFERROR(INDEX('Agenda 2026'!$B$2:$B$376,MATCH(DATE(2026,4,11)*10+12,'Agenda 2026'!$S$2:$S$376,0)),""),"")</f>
        <v>11</v>
      </c>
      <c r="H39" s="58" t="str">
        <f t="array" ref="H39">12&amp;IF(COUNTIFS('Agenda 2026'!$Q$2:$Q$376,DATE(2026,4,12),'Agenda 2026'!$M$2:$M$376,1)&gt;=1,CHAR(10)&amp;IFERROR(INDEX('Agenda 2026'!$B$2:$B$376,MATCH(DATE(2026,4,12)*10+1,'Agenda 2026'!$S$2:$S$376,0)),""),"")&amp;IF(COUNTIFS('Agenda 2026'!$Q$2:$Q$376,DATE(2026,4,12),'Agenda 2026'!$M$2:$M$376,1)&gt;=2,CHAR(10)&amp;IFERROR(INDEX('Agenda 2026'!$B$2:$B$376,MATCH(DATE(2026,4,12)*10+2,'Agenda 2026'!$S$2:$S$376,0)),""),"")&amp;IF(COUNTIFS('Agenda 2026'!$Q$2:$Q$376,DATE(2026,4,12),'Agenda 2026'!$M$2:$M$376,1)&gt;=3,CHAR(10)&amp;IFERROR(INDEX('Agenda 2026'!$B$2:$B$376,MATCH(DATE(2026,4,12)*10+3,'Agenda 2026'!$S$2:$S$376,0)),""),"")&amp;IF(COUNTIFS('Agenda 2026'!$Q$2:$Q$376,DATE(2026,4,12),'Agenda 2026'!$M$2:$M$376,1)&gt;=4,CHAR(10)&amp;IFERROR(INDEX('Agenda 2026'!$B$2:$B$376,MATCH(DATE(2026,4,12)*10+4,'Agenda 2026'!$S$2:$S$376,0)),""),"")&amp;IF(COUNTIFS('Agenda 2026'!$Q$2:$Q$376,DATE(2026,4,12),'Agenda 2026'!$M$2:$M$376,1)&gt;=5,CHAR(10)&amp;IFERROR(INDEX('Agenda 2026'!$B$2:$B$376,MATCH(DATE(2026,4,12)*10+5,'Agenda 2026'!$S$2:$S$376,0)),""),"")&amp;IF(COUNTIFS('Agenda 2026'!$Q$2:$Q$376,DATE(2026,4,12),'Agenda 2026'!$M$2:$M$376,1)&gt;=6,CHAR(10)&amp;IFERROR(INDEX('Agenda 2026'!$B$2:$B$376,MATCH(DATE(2026,4,12)*10+6,'Agenda 2026'!$S$2:$S$376,0)),""),"")&amp;IF(COUNTIFS('Agenda 2026'!$Q$2:$Q$376,DATE(2026,4,12),'Agenda 2026'!$M$2:$M$376,1)&gt;=7,CHAR(10)&amp;IFERROR(INDEX('Agenda 2026'!$B$2:$B$376,MATCH(DATE(2026,4,12)*10+7,'Agenda 2026'!$S$2:$S$376,0)),""),"")&amp;IF(COUNTIFS('Agenda 2026'!$Q$2:$Q$376,DATE(2026,4,12),'Agenda 2026'!$M$2:$M$376,1)&gt;=8,CHAR(10)&amp;IFERROR(INDEX('Agenda 2026'!$B$2:$B$376,MATCH(DATE(2026,4,12)*10+8,'Agenda 2026'!$S$2:$S$376,0)),""),"")&amp;IF(COUNTIFS('Agenda 2026'!$Q$2:$Q$376,DATE(2026,4,12),'Agenda 2026'!$M$2:$M$376,1)&gt;=9,CHAR(10)&amp;IFERROR(INDEX('Agenda 2026'!$B$2:$B$376,MATCH(DATE(2026,4,12)*10+9,'Agenda 2026'!$S$2:$S$376,0)),""),"")&amp;IF(COUNTIFS('Agenda 2026'!$Q$2:$Q$376,DATE(2026,4,12),'Agenda 2026'!$M$2:$M$376,1)&gt;=10,CHAR(10)&amp;IFERROR(INDEX('Agenda 2026'!$B$2:$B$376,MATCH(DATE(2026,4,12)*10+10,'Agenda 2026'!$S$2:$S$376,0)),""),"")&amp;IF(COUNTIFS('Agenda 2026'!$Q$2:$Q$376,DATE(2026,4,12),'Agenda 2026'!$M$2:$M$376,1)&gt;=11,CHAR(10)&amp;IFERROR(INDEX('Agenda 2026'!$B$2:$B$376,MATCH(DATE(2026,4,12)*10+11,'Agenda 2026'!$S$2:$S$376,0)),""),"")&amp;IF(COUNTIFS('Agenda 2026'!$Q$2:$Q$376,DATE(2026,4,12),'Agenda 2026'!$M$2:$M$376,1)&gt;=12,CHAR(10)&amp;IFERROR(INDEX('Agenda 2026'!$B$2:$B$376,MATCH(DATE(2026,4,12)*10+12,'Agenda 2026'!$S$2:$S$376,0)),""),"")</f>
        <v>12</v>
      </c>
    </row>
    <row r="40" spans="1:8" ht="57.75" customHeight="1" x14ac:dyDescent="0.35">
      <c r="A40" s="17"/>
      <c r="B40" s="58" t="str">
        <f t="array" ref="B40">13&amp;IF(COUNTIFS('Agenda 2026'!$Q$2:$Q$376,DATE(2026,4,13),'Agenda 2026'!$M$2:$M$376,1)&gt;=1,CHAR(10)&amp;IFERROR(INDEX('Agenda 2026'!$B$2:$B$376,MATCH(DATE(2026,4,13)*10+1,'Agenda 2026'!$S$2:$S$376,0)),""),"")&amp;IF(COUNTIFS('Agenda 2026'!$Q$2:$Q$376,DATE(2026,4,13),'Agenda 2026'!$M$2:$M$376,1)&gt;=2,CHAR(10)&amp;IFERROR(INDEX('Agenda 2026'!$B$2:$B$376,MATCH(DATE(2026,4,13)*10+2,'Agenda 2026'!$S$2:$S$376,0)),""),"")&amp;IF(COUNTIFS('Agenda 2026'!$Q$2:$Q$376,DATE(2026,4,13),'Agenda 2026'!$M$2:$M$376,1)&gt;=3,CHAR(10)&amp;IFERROR(INDEX('Agenda 2026'!$B$2:$B$376,MATCH(DATE(2026,4,13)*10+3,'Agenda 2026'!$S$2:$S$376,0)),""),"")&amp;IF(COUNTIFS('Agenda 2026'!$Q$2:$Q$376,DATE(2026,4,13),'Agenda 2026'!$M$2:$M$376,1)&gt;=4,CHAR(10)&amp;IFERROR(INDEX('Agenda 2026'!$B$2:$B$376,MATCH(DATE(2026,4,13)*10+4,'Agenda 2026'!$S$2:$S$376,0)),""),"")&amp;IF(COUNTIFS('Agenda 2026'!$Q$2:$Q$376,DATE(2026,4,13),'Agenda 2026'!$M$2:$M$376,1)&gt;=5,CHAR(10)&amp;IFERROR(INDEX('Agenda 2026'!$B$2:$B$376,MATCH(DATE(2026,4,13)*10+5,'Agenda 2026'!$S$2:$S$376,0)),""),"")&amp;IF(COUNTIFS('Agenda 2026'!$Q$2:$Q$376,DATE(2026,4,13),'Agenda 2026'!$M$2:$M$376,1)&gt;=6,CHAR(10)&amp;IFERROR(INDEX('Agenda 2026'!$B$2:$B$376,MATCH(DATE(2026,4,13)*10+6,'Agenda 2026'!$S$2:$S$376,0)),""),"")&amp;IF(COUNTIFS('Agenda 2026'!$Q$2:$Q$376,DATE(2026,4,13),'Agenda 2026'!$M$2:$M$376,1)&gt;=7,CHAR(10)&amp;IFERROR(INDEX('Agenda 2026'!$B$2:$B$376,MATCH(DATE(2026,4,13)*10+7,'Agenda 2026'!$S$2:$S$376,0)),""),"")&amp;IF(COUNTIFS('Agenda 2026'!$Q$2:$Q$376,DATE(2026,4,13),'Agenda 2026'!$M$2:$M$376,1)&gt;=8,CHAR(10)&amp;IFERROR(INDEX('Agenda 2026'!$B$2:$B$376,MATCH(DATE(2026,4,13)*10+8,'Agenda 2026'!$S$2:$S$376,0)),""),"")&amp;IF(COUNTIFS('Agenda 2026'!$Q$2:$Q$376,DATE(2026,4,13),'Agenda 2026'!$M$2:$M$376,1)&gt;=9,CHAR(10)&amp;IFERROR(INDEX('Agenda 2026'!$B$2:$B$376,MATCH(DATE(2026,4,13)*10+9,'Agenda 2026'!$S$2:$S$376,0)),""),"")&amp;IF(COUNTIFS('Agenda 2026'!$Q$2:$Q$376,DATE(2026,4,13),'Agenda 2026'!$M$2:$M$376,1)&gt;=10,CHAR(10)&amp;IFERROR(INDEX('Agenda 2026'!$B$2:$B$376,MATCH(DATE(2026,4,13)*10+10,'Agenda 2026'!$S$2:$S$376,0)),""),"")&amp;IF(COUNTIFS('Agenda 2026'!$Q$2:$Q$376,DATE(2026,4,13),'Agenda 2026'!$M$2:$M$376,1)&gt;=11,CHAR(10)&amp;IFERROR(INDEX('Agenda 2026'!$B$2:$B$376,MATCH(DATE(2026,4,13)*10+11,'Agenda 2026'!$S$2:$S$376,0)),""),"")&amp;IF(COUNTIFS('Agenda 2026'!$Q$2:$Q$376,DATE(2026,4,13),'Agenda 2026'!$M$2:$M$376,1)&gt;=12,CHAR(10)&amp;IFERROR(INDEX('Agenda 2026'!$B$2:$B$376,MATCH(DATE(2026,4,13)*10+12,'Agenda 2026'!$S$2:$S$376,0)),""),"")</f>
        <v>13</v>
      </c>
      <c r="C40" s="58" t="str">
        <f t="array" ref="C40">14&amp;IF(COUNTIFS('Agenda 2026'!$Q$2:$Q$376,DATE(2026,4,14),'Agenda 2026'!$M$2:$M$376,1)&gt;=1,CHAR(10)&amp;IFERROR(INDEX('Agenda 2026'!$B$2:$B$376,MATCH(DATE(2026,4,14)*10+1,'Agenda 2026'!$S$2:$S$376,0)),""),"")&amp;IF(COUNTIFS('Agenda 2026'!$Q$2:$Q$376,DATE(2026,4,14),'Agenda 2026'!$M$2:$M$376,1)&gt;=2,CHAR(10)&amp;IFERROR(INDEX('Agenda 2026'!$B$2:$B$376,MATCH(DATE(2026,4,14)*10+2,'Agenda 2026'!$S$2:$S$376,0)),""),"")&amp;IF(COUNTIFS('Agenda 2026'!$Q$2:$Q$376,DATE(2026,4,14),'Agenda 2026'!$M$2:$M$376,1)&gt;=3,CHAR(10)&amp;IFERROR(INDEX('Agenda 2026'!$B$2:$B$376,MATCH(DATE(2026,4,14)*10+3,'Agenda 2026'!$S$2:$S$376,0)),""),"")&amp;IF(COUNTIFS('Agenda 2026'!$Q$2:$Q$376,DATE(2026,4,14),'Agenda 2026'!$M$2:$M$376,1)&gt;=4,CHAR(10)&amp;IFERROR(INDEX('Agenda 2026'!$B$2:$B$376,MATCH(DATE(2026,4,14)*10+4,'Agenda 2026'!$S$2:$S$376,0)),""),"")&amp;IF(COUNTIFS('Agenda 2026'!$Q$2:$Q$376,DATE(2026,4,14),'Agenda 2026'!$M$2:$M$376,1)&gt;=5,CHAR(10)&amp;IFERROR(INDEX('Agenda 2026'!$B$2:$B$376,MATCH(DATE(2026,4,14)*10+5,'Agenda 2026'!$S$2:$S$376,0)),""),"")&amp;IF(COUNTIFS('Agenda 2026'!$Q$2:$Q$376,DATE(2026,4,14),'Agenda 2026'!$M$2:$M$376,1)&gt;=6,CHAR(10)&amp;IFERROR(INDEX('Agenda 2026'!$B$2:$B$376,MATCH(DATE(2026,4,14)*10+6,'Agenda 2026'!$S$2:$S$376,0)),""),"")&amp;IF(COUNTIFS('Agenda 2026'!$Q$2:$Q$376,DATE(2026,4,14),'Agenda 2026'!$M$2:$M$376,1)&gt;=7,CHAR(10)&amp;IFERROR(INDEX('Agenda 2026'!$B$2:$B$376,MATCH(DATE(2026,4,14)*10+7,'Agenda 2026'!$S$2:$S$376,0)),""),"")&amp;IF(COUNTIFS('Agenda 2026'!$Q$2:$Q$376,DATE(2026,4,14),'Agenda 2026'!$M$2:$M$376,1)&gt;=8,CHAR(10)&amp;IFERROR(INDEX('Agenda 2026'!$B$2:$B$376,MATCH(DATE(2026,4,14)*10+8,'Agenda 2026'!$S$2:$S$376,0)),""),"")&amp;IF(COUNTIFS('Agenda 2026'!$Q$2:$Q$376,DATE(2026,4,14),'Agenda 2026'!$M$2:$M$376,1)&gt;=9,CHAR(10)&amp;IFERROR(INDEX('Agenda 2026'!$B$2:$B$376,MATCH(DATE(2026,4,14)*10+9,'Agenda 2026'!$S$2:$S$376,0)),""),"")&amp;IF(COUNTIFS('Agenda 2026'!$Q$2:$Q$376,DATE(2026,4,14),'Agenda 2026'!$M$2:$M$376,1)&gt;=10,CHAR(10)&amp;IFERROR(INDEX('Agenda 2026'!$B$2:$B$376,MATCH(DATE(2026,4,14)*10+10,'Agenda 2026'!$S$2:$S$376,0)),""),"")&amp;IF(COUNTIFS('Agenda 2026'!$Q$2:$Q$376,DATE(2026,4,14),'Agenda 2026'!$M$2:$M$376,1)&gt;=11,CHAR(10)&amp;IFERROR(INDEX('Agenda 2026'!$B$2:$B$376,MATCH(DATE(2026,4,14)*10+11,'Agenda 2026'!$S$2:$S$376,0)),""),"")&amp;IF(COUNTIFS('Agenda 2026'!$Q$2:$Q$376,DATE(2026,4,14),'Agenda 2026'!$M$2:$M$376,1)&gt;=12,CHAR(10)&amp;IFERROR(INDEX('Agenda 2026'!$B$2:$B$376,MATCH(DATE(2026,4,14)*10+12,'Agenda 2026'!$S$2:$S$376,0)),""),"")</f>
        <v>14</v>
      </c>
      <c r="D40" s="58" t="str">
        <f t="array" ref="D40">15&amp;IF(COUNTIFS('Agenda 2026'!$Q$2:$Q$376,DATE(2026,4,15),'Agenda 2026'!$M$2:$M$376,1)&gt;=1,CHAR(10)&amp;IFERROR(INDEX('Agenda 2026'!$B$2:$B$376,MATCH(DATE(2026,4,15)*10+1,'Agenda 2026'!$S$2:$S$376,0)),""),"")&amp;IF(COUNTIFS('Agenda 2026'!$Q$2:$Q$376,DATE(2026,4,15),'Agenda 2026'!$M$2:$M$376,1)&gt;=2,CHAR(10)&amp;IFERROR(INDEX('Agenda 2026'!$B$2:$B$376,MATCH(DATE(2026,4,15)*10+2,'Agenda 2026'!$S$2:$S$376,0)),""),"")&amp;IF(COUNTIFS('Agenda 2026'!$Q$2:$Q$376,DATE(2026,4,15),'Agenda 2026'!$M$2:$M$376,1)&gt;=3,CHAR(10)&amp;IFERROR(INDEX('Agenda 2026'!$B$2:$B$376,MATCH(DATE(2026,4,15)*10+3,'Agenda 2026'!$S$2:$S$376,0)),""),"")&amp;IF(COUNTIFS('Agenda 2026'!$Q$2:$Q$376,DATE(2026,4,15),'Agenda 2026'!$M$2:$M$376,1)&gt;=4,CHAR(10)&amp;IFERROR(INDEX('Agenda 2026'!$B$2:$B$376,MATCH(DATE(2026,4,15)*10+4,'Agenda 2026'!$S$2:$S$376,0)),""),"")&amp;IF(COUNTIFS('Agenda 2026'!$Q$2:$Q$376,DATE(2026,4,15),'Agenda 2026'!$M$2:$M$376,1)&gt;=5,CHAR(10)&amp;IFERROR(INDEX('Agenda 2026'!$B$2:$B$376,MATCH(DATE(2026,4,15)*10+5,'Agenda 2026'!$S$2:$S$376,0)),""),"")&amp;IF(COUNTIFS('Agenda 2026'!$Q$2:$Q$376,DATE(2026,4,15),'Agenda 2026'!$M$2:$M$376,1)&gt;=6,CHAR(10)&amp;IFERROR(INDEX('Agenda 2026'!$B$2:$B$376,MATCH(DATE(2026,4,15)*10+6,'Agenda 2026'!$S$2:$S$376,0)),""),"")&amp;IF(COUNTIFS('Agenda 2026'!$Q$2:$Q$376,DATE(2026,4,15),'Agenda 2026'!$M$2:$M$376,1)&gt;=7,CHAR(10)&amp;IFERROR(INDEX('Agenda 2026'!$B$2:$B$376,MATCH(DATE(2026,4,15)*10+7,'Agenda 2026'!$S$2:$S$376,0)),""),"")&amp;IF(COUNTIFS('Agenda 2026'!$Q$2:$Q$376,DATE(2026,4,15),'Agenda 2026'!$M$2:$M$376,1)&gt;=8,CHAR(10)&amp;IFERROR(INDEX('Agenda 2026'!$B$2:$B$376,MATCH(DATE(2026,4,15)*10+8,'Agenda 2026'!$S$2:$S$376,0)),""),"")&amp;IF(COUNTIFS('Agenda 2026'!$Q$2:$Q$376,DATE(2026,4,15),'Agenda 2026'!$M$2:$M$376,1)&gt;=9,CHAR(10)&amp;IFERROR(INDEX('Agenda 2026'!$B$2:$B$376,MATCH(DATE(2026,4,15)*10+9,'Agenda 2026'!$S$2:$S$376,0)),""),"")&amp;IF(COUNTIFS('Agenda 2026'!$Q$2:$Q$376,DATE(2026,4,15),'Agenda 2026'!$M$2:$M$376,1)&gt;=10,CHAR(10)&amp;IFERROR(INDEX('Agenda 2026'!$B$2:$B$376,MATCH(DATE(2026,4,15)*10+10,'Agenda 2026'!$S$2:$S$376,0)),""),"")&amp;IF(COUNTIFS('Agenda 2026'!$Q$2:$Q$376,DATE(2026,4,15),'Agenda 2026'!$M$2:$M$376,1)&gt;=11,CHAR(10)&amp;IFERROR(INDEX('Agenda 2026'!$B$2:$B$376,MATCH(DATE(2026,4,15)*10+11,'Agenda 2026'!$S$2:$S$376,0)),""),"")&amp;IF(COUNTIFS('Agenda 2026'!$Q$2:$Q$376,DATE(2026,4,15),'Agenda 2026'!$M$2:$M$376,1)&gt;=12,CHAR(10)&amp;IFERROR(INDEX('Agenda 2026'!$B$2:$B$376,MATCH(DATE(2026,4,15)*10+12,'Agenda 2026'!$S$2:$S$376,0)),""),"")</f>
        <v>15</v>
      </c>
      <c r="E40" s="58" t="str">
        <f t="array" ref="E40">16&amp;IF(COUNTIFS('Agenda 2026'!$Q$2:$Q$376,DATE(2026,4,16),'Agenda 2026'!$M$2:$M$376,1)&gt;=1,CHAR(10)&amp;IFERROR(INDEX('Agenda 2026'!$B$2:$B$376,MATCH(DATE(2026,4,16)*10+1,'Agenda 2026'!$S$2:$S$376,0)),""),"")&amp;IF(COUNTIFS('Agenda 2026'!$Q$2:$Q$376,DATE(2026,4,16),'Agenda 2026'!$M$2:$M$376,1)&gt;=2,CHAR(10)&amp;IFERROR(INDEX('Agenda 2026'!$B$2:$B$376,MATCH(DATE(2026,4,16)*10+2,'Agenda 2026'!$S$2:$S$376,0)),""),"")&amp;IF(COUNTIFS('Agenda 2026'!$Q$2:$Q$376,DATE(2026,4,16),'Agenda 2026'!$M$2:$M$376,1)&gt;=3,CHAR(10)&amp;IFERROR(INDEX('Agenda 2026'!$B$2:$B$376,MATCH(DATE(2026,4,16)*10+3,'Agenda 2026'!$S$2:$S$376,0)),""),"")&amp;IF(COUNTIFS('Agenda 2026'!$Q$2:$Q$376,DATE(2026,4,16),'Agenda 2026'!$M$2:$M$376,1)&gt;=4,CHAR(10)&amp;IFERROR(INDEX('Agenda 2026'!$B$2:$B$376,MATCH(DATE(2026,4,16)*10+4,'Agenda 2026'!$S$2:$S$376,0)),""),"")&amp;IF(COUNTIFS('Agenda 2026'!$Q$2:$Q$376,DATE(2026,4,16),'Agenda 2026'!$M$2:$M$376,1)&gt;=5,CHAR(10)&amp;IFERROR(INDEX('Agenda 2026'!$B$2:$B$376,MATCH(DATE(2026,4,16)*10+5,'Agenda 2026'!$S$2:$S$376,0)),""),"")&amp;IF(COUNTIFS('Agenda 2026'!$Q$2:$Q$376,DATE(2026,4,16),'Agenda 2026'!$M$2:$M$376,1)&gt;=6,CHAR(10)&amp;IFERROR(INDEX('Agenda 2026'!$B$2:$B$376,MATCH(DATE(2026,4,16)*10+6,'Agenda 2026'!$S$2:$S$376,0)),""),"")&amp;IF(COUNTIFS('Agenda 2026'!$Q$2:$Q$376,DATE(2026,4,16),'Agenda 2026'!$M$2:$M$376,1)&gt;=7,CHAR(10)&amp;IFERROR(INDEX('Agenda 2026'!$B$2:$B$376,MATCH(DATE(2026,4,16)*10+7,'Agenda 2026'!$S$2:$S$376,0)),""),"")&amp;IF(COUNTIFS('Agenda 2026'!$Q$2:$Q$376,DATE(2026,4,16),'Agenda 2026'!$M$2:$M$376,1)&gt;=8,CHAR(10)&amp;IFERROR(INDEX('Agenda 2026'!$B$2:$B$376,MATCH(DATE(2026,4,16)*10+8,'Agenda 2026'!$S$2:$S$376,0)),""),"")&amp;IF(COUNTIFS('Agenda 2026'!$Q$2:$Q$376,DATE(2026,4,16),'Agenda 2026'!$M$2:$M$376,1)&gt;=9,CHAR(10)&amp;IFERROR(INDEX('Agenda 2026'!$B$2:$B$376,MATCH(DATE(2026,4,16)*10+9,'Agenda 2026'!$S$2:$S$376,0)),""),"")&amp;IF(COUNTIFS('Agenda 2026'!$Q$2:$Q$376,DATE(2026,4,16),'Agenda 2026'!$M$2:$M$376,1)&gt;=10,CHAR(10)&amp;IFERROR(INDEX('Agenda 2026'!$B$2:$B$376,MATCH(DATE(2026,4,16)*10+10,'Agenda 2026'!$S$2:$S$376,0)),""),"")&amp;IF(COUNTIFS('Agenda 2026'!$Q$2:$Q$376,DATE(2026,4,16),'Agenda 2026'!$M$2:$M$376,1)&gt;=11,CHAR(10)&amp;IFERROR(INDEX('Agenda 2026'!$B$2:$B$376,MATCH(DATE(2026,4,16)*10+11,'Agenda 2026'!$S$2:$S$376,0)),""),"")&amp;IF(COUNTIFS('Agenda 2026'!$Q$2:$Q$376,DATE(2026,4,16),'Agenda 2026'!$M$2:$M$376,1)&gt;=12,CHAR(10)&amp;IFERROR(INDEX('Agenda 2026'!$B$2:$B$376,MATCH(DATE(2026,4,16)*10+12,'Agenda 2026'!$S$2:$S$376,0)),""),"")</f>
        <v>16</v>
      </c>
      <c r="F40" s="58" t="str">
        <f t="array" ref="F40">17&amp;IF(COUNTIFS('Agenda 2026'!$Q$2:$Q$376,DATE(2026,4,17),'Agenda 2026'!$M$2:$M$376,1)&gt;=1,CHAR(10)&amp;IFERROR(INDEX('Agenda 2026'!$B$2:$B$376,MATCH(DATE(2026,4,17)*10+1,'Agenda 2026'!$S$2:$S$376,0)),""),"")&amp;IF(COUNTIFS('Agenda 2026'!$Q$2:$Q$376,DATE(2026,4,17),'Agenda 2026'!$M$2:$M$376,1)&gt;=2,CHAR(10)&amp;IFERROR(INDEX('Agenda 2026'!$B$2:$B$376,MATCH(DATE(2026,4,17)*10+2,'Agenda 2026'!$S$2:$S$376,0)),""),"")&amp;IF(COUNTIFS('Agenda 2026'!$Q$2:$Q$376,DATE(2026,4,17),'Agenda 2026'!$M$2:$M$376,1)&gt;=3,CHAR(10)&amp;IFERROR(INDEX('Agenda 2026'!$B$2:$B$376,MATCH(DATE(2026,4,17)*10+3,'Agenda 2026'!$S$2:$S$376,0)),""),"")&amp;IF(COUNTIFS('Agenda 2026'!$Q$2:$Q$376,DATE(2026,4,17),'Agenda 2026'!$M$2:$M$376,1)&gt;=4,CHAR(10)&amp;IFERROR(INDEX('Agenda 2026'!$B$2:$B$376,MATCH(DATE(2026,4,17)*10+4,'Agenda 2026'!$S$2:$S$376,0)),""),"")&amp;IF(COUNTIFS('Agenda 2026'!$Q$2:$Q$376,DATE(2026,4,17),'Agenda 2026'!$M$2:$M$376,1)&gt;=5,CHAR(10)&amp;IFERROR(INDEX('Agenda 2026'!$B$2:$B$376,MATCH(DATE(2026,4,17)*10+5,'Agenda 2026'!$S$2:$S$376,0)),""),"")&amp;IF(COUNTIFS('Agenda 2026'!$Q$2:$Q$376,DATE(2026,4,17),'Agenda 2026'!$M$2:$M$376,1)&gt;=6,CHAR(10)&amp;IFERROR(INDEX('Agenda 2026'!$B$2:$B$376,MATCH(DATE(2026,4,17)*10+6,'Agenda 2026'!$S$2:$S$376,0)),""),"")&amp;IF(COUNTIFS('Agenda 2026'!$Q$2:$Q$376,DATE(2026,4,17),'Agenda 2026'!$M$2:$M$376,1)&gt;=7,CHAR(10)&amp;IFERROR(INDEX('Agenda 2026'!$B$2:$B$376,MATCH(DATE(2026,4,17)*10+7,'Agenda 2026'!$S$2:$S$376,0)),""),"")&amp;IF(COUNTIFS('Agenda 2026'!$Q$2:$Q$376,DATE(2026,4,17),'Agenda 2026'!$M$2:$M$376,1)&gt;=8,CHAR(10)&amp;IFERROR(INDEX('Agenda 2026'!$B$2:$B$376,MATCH(DATE(2026,4,17)*10+8,'Agenda 2026'!$S$2:$S$376,0)),""),"")&amp;IF(COUNTIFS('Agenda 2026'!$Q$2:$Q$376,DATE(2026,4,17),'Agenda 2026'!$M$2:$M$376,1)&gt;=9,CHAR(10)&amp;IFERROR(INDEX('Agenda 2026'!$B$2:$B$376,MATCH(DATE(2026,4,17)*10+9,'Agenda 2026'!$S$2:$S$376,0)),""),"")&amp;IF(COUNTIFS('Agenda 2026'!$Q$2:$Q$376,DATE(2026,4,17),'Agenda 2026'!$M$2:$M$376,1)&gt;=10,CHAR(10)&amp;IFERROR(INDEX('Agenda 2026'!$B$2:$B$376,MATCH(DATE(2026,4,17)*10+10,'Agenda 2026'!$S$2:$S$376,0)),""),"")&amp;IF(COUNTIFS('Agenda 2026'!$Q$2:$Q$376,DATE(2026,4,17),'Agenda 2026'!$M$2:$M$376,1)&gt;=11,CHAR(10)&amp;IFERROR(INDEX('Agenda 2026'!$B$2:$B$376,MATCH(DATE(2026,4,17)*10+11,'Agenda 2026'!$S$2:$S$376,0)),""),"")&amp;IF(COUNTIFS('Agenda 2026'!$Q$2:$Q$376,DATE(2026,4,17),'Agenda 2026'!$M$2:$M$376,1)&gt;=12,CHAR(10)&amp;IFERROR(INDEX('Agenda 2026'!$B$2:$B$376,MATCH(DATE(2026,4,17)*10+12,'Agenda 2026'!$S$2:$S$376,0)),""),"")</f>
        <v>17</v>
      </c>
      <c r="G40" s="58" t="str">
        <f t="array" ref="G40">18&amp;IF(COUNTIFS('Agenda 2026'!$Q$2:$Q$376,DATE(2026,4,18),'Agenda 2026'!$M$2:$M$376,1)&gt;=1,CHAR(10)&amp;IFERROR(INDEX('Agenda 2026'!$B$2:$B$376,MATCH(DATE(2026,4,18)*10+1,'Agenda 2026'!$S$2:$S$376,0)),""),"")&amp;IF(COUNTIFS('Agenda 2026'!$Q$2:$Q$376,DATE(2026,4,18),'Agenda 2026'!$M$2:$M$376,1)&gt;=2,CHAR(10)&amp;IFERROR(INDEX('Agenda 2026'!$B$2:$B$376,MATCH(DATE(2026,4,18)*10+2,'Agenda 2026'!$S$2:$S$376,0)),""),"")&amp;IF(COUNTIFS('Agenda 2026'!$Q$2:$Q$376,DATE(2026,4,18),'Agenda 2026'!$M$2:$M$376,1)&gt;=3,CHAR(10)&amp;IFERROR(INDEX('Agenda 2026'!$B$2:$B$376,MATCH(DATE(2026,4,18)*10+3,'Agenda 2026'!$S$2:$S$376,0)),""),"")&amp;IF(COUNTIFS('Agenda 2026'!$Q$2:$Q$376,DATE(2026,4,18),'Agenda 2026'!$M$2:$M$376,1)&gt;=4,CHAR(10)&amp;IFERROR(INDEX('Agenda 2026'!$B$2:$B$376,MATCH(DATE(2026,4,18)*10+4,'Agenda 2026'!$S$2:$S$376,0)),""),"")&amp;IF(COUNTIFS('Agenda 2026'!$Q$2:$Q$376,DATE(2026,4,18),'Agenda 2026'!$M$2:$M$376,1)&gt;=5,CHAR(10)&amp;IFERROR(INDEX('Agenda 2026'!$B$2:$B$376,MATCH(DATE(2026,4,18)*10+5,'Agenda 2026'!$S$2:$S$376,0)),""),"")&amp;IF(COUNTIFS('Agenda 2026'!$Q$2:$Q$376,DATE(2026,4,18),'Agenda 2026'!$M$2:$M$376,1)&gt;=6,CHAR(10)&amp;IFERROR(INDEX('Agenda 2026'!$B$2:$B$376,MATCH(DATE(2026,4,18)*10+6,'Agenda 2026'!$S$2:$S$376,0)),""),"")&amp;IF(COUNTIFS('Agenda 2026'!$Q$2:$Q$376,DATE(2026,4,18),'Agenda 2026'!$M$2:$M$376,1)&gt;=7,CHAR(10)&amp;IFERROR(INDEX('Agenda 2026'!$B$2:$B$376,MATCH(DATE(2026,4,18)*10+7,'Agenda 2026'!$S$2:$S$376,0)),""),"")&amp;IF(COUNTIFS('Agenda 2026'!$Q$2:$Q$376,DATE(2026,4,18),'Agenda 2026'!$M$2:$M$376,1)&gt;=8,CHAR(10)&amp;IFERROR(INDEX('Agenda 2026'!$B$2:$B$376,MATCH(DATE(2026,4,18)*10+8,'Agenda 2026'!$S$2:$S$376,0)),""),"")&amp;IF(COUNTIFS('Agenda 2026'!$Q$2:$Q$376,DATE(2026,4,18),'Agenda 2026'!$M$2:$M$376,1)&gt;=9,CHAR(10)&amp;IFERROR(INDEX('Agenda 2026'!$B$2:$B$376,MATCH(DATE(2026,4,18)*10+9,'Agenda 2026'!$S$2:$S$376,0)),""),"")&amp;IF(COUNTIFS('Agenda 2026'!$Q$2:$Q$376,DATE(2026,4,18),'Agenda 2026'!$M$2:$M$376,1)&gt;=10,CHAR(10)&amp;IFERROR(INDEX('Agenda 2026'!$B$2:$B$376,MATCH(DATE(2026,4,18)*10+10,'Agenda 2026'!$S$2:$S$376,0)),""),"")&amp;IF(COUNTIFS('Agenda 2026'!$Q$2:$Q$376,DATE(2026,4,18),'Agenda 2026'!$M$2:$M$376,1)&gt;=11,CHAR(10)&amp;IFERROR(INDEX('Agenda 2026'!$B$2:$B$376,MATCH(DATE(2026,4,18)*10+11,'Agenda 2026'!$S$2:$S$376,0)),""),"")&amp;IF(COUNTIFS('Agenda 2026'!$Q$2:$Q$376,DATE(2026,4,18),'Agenda 2026'!$M$2:$M$376,1)&gt;=12,CHAR(10)&amp;IFERROR(INDEX('Agenda 2026'!$B$2:$B$376,MATCH(DATE(2026,4,18)*10+12,'Agenda 2026'!$S$2:$S$376,0)),""),"")</f>
        <v>18</v>
      </c>
      <c r="H40" s="58" t="str">
        <f t="array" ref="H40">19&amp;IF(COUNTIFS('Agenda 2026'!$Q$2:$Q$376,DATE(2026,4,19),'Agenda 2026'!$M$2:$M$376,1)&gt;=1,CHAR(10)&amp;IFERROR(INDEX('Agenda 2026'!$B$2:$B$376,MATCH(DATE(2026,4,19)*10+1,'Agenda 2026'!$S$2:$S$376,0)),""),"")&amp;IF(COUNTIFS('Agenda 2026'!$Q$2:$Q$376,DATE(2026,4,19),'Agenda 2026'!$M$2:$M$376,1)&gt;=2,CHAR(10)&amp;IFERROR(INDEX('Agenda 2026'!$B$2:$B$376,MATCH(DATE(2026,4,19)*10+2,'Agenda 2026'!$S$2:$S$376,0)),""),"")&amp;IF(COUNTIFS('Agenda 2026'!$Q$2:$Q$376,DATE(2026,4,19),'Agenda 2026'!$M$2:$M$376,1)&gt;=3,CHAR(10)&amp;IFERROR(INDEX('Agenda 2026'!$B$2:$B$376,MATCH(DATE(2026,4,19)*10+3,'Agenda 2026'!$S$2:$S$376,0)),""),"")&amp;IF(COUNTIFS('Agenda 2026'!$Q$2:$Q$376,DATE(2026,4,19),'Agenda 2026'!$M$2:$M$376,1)&gt;=4,CHAR(10)&amp;IFERROR(INDEX('Agenda 2026'!$B$2:$B$376,MATCH(DATE(2026,4,19)*10+4,'Agenda 2026'!$S$2:$S$376,0)),""),"")&amp;IF(COUNTIFS('Agenda 2026'!$Q$2:$Q$376,DATE(2026,4,19),'Agenda 2026'!$M$2:$M$376,1)&gt;=5,CHAR(10)&amp;IFERROR(INDEX('Agenda 2026'!$B$2:$B$376,MATCH(DATE(2026,4,19)*10+5,'Agenda 2026'!$S$2:$S$376,0)),""),"")&amp;IF(COUNTIFS('Agenda 2026'!$Q$2:$Q$376,DATE(2026,4,19),'Agenda 2026'!$M$2:$M$376,1)&gt;=6,CHAR(10)&amp;IFERROR(INDEX('Agenda 2026'!$B$2:$B$376,MATCH(DATE(2026,4,19)*10+6,'Agenda 2026'!$S$2:$S$376,0)),""),"")&amp;IF(COUNTIFS('Agenda 2026'!$Q$2:$Q$376,DATE(2026,4,19),'Agenda 2026'!$M$2:$M$376,1)&gt;=7,CHAR(10)&amp;IFERROR(INDEX('Agenda 2026'!$B$2:$B$376,MATCH(DATE(2026,4,19)*10+7,'Agenda 2026'!$S$2:$S$376,0)),""),"")&amp;IF(COUNTIFS('Agenda 2026'!$Q$2:$Q$376,DATE(2026,4,19),'Agenda 2026'!$M$2:$M$376,1)&gt;=8,CHAR(10)&amp;IFERROR(INDEX('Agenda 2026'!$B$2:$B$376,MATCH(DATE(2026,4,19)*10+8,'Agenda 2026'!$S$2:$S$376,0)),""),"")&amp;IF(COUNTIFS('Agenda 2026'!$Q$2:$Q$376,DATE(2026,4,19),'Agenda 2026'!$M$2:$M$376,1)&gt;=9,CHAR(10)&amp;IFERROR(INDEX('Agenda 2026'!$B$2:$B$376,MATCH(DATE(2026,4,19)*10+9,'Agenda 2026'!$S$2:$S$376,0)),""),"")&amp;IF(COUNTIFS('Agenda 2026'!$Q$2:$Q$376,DATE(2026,4,19),'Agenda 2026'!$M$2:$M$376,1)&gt;=10,CHAR(10)&amp;IFERROR(INDEX('Agenda 2026'!$B$2:$B$376,MATCH(DATE(2026,4,19)*10+10,'Agenda 2026'!$S$2:$S$376,0)),""),"")&amp;IF(COUNTIFS('Agenda 2026'!$Q$2:$Q$376,DATE(2026,4,19),'Agenda 2026'!$M$2:$M$376,1)&gt;=11,CHAR(10)&amp;IFERROR(INDEX('Agenda 2026'!$B$2:$B$376,MATCH(DATE(2026,4,19)*10+11,'Agenda 2026'!$S$2:$S$376,0)),""),"")&amp;IF(COUNTIFS('Agenda 2026'!$Q$2:$Q$376,DATE(2026,4,19),'Agenda 2026'!$M$2:$M$376,1)&gt;=12,CHAR(10)&amp;IFERROR(INDEX('Agenda 2026'!$B$2:$B$376,MATCH(DATE(2026,4,19)*10+12,'Agenda 2026'!$S$2:$S$376,0)),""),"")</f>
        <v>19</v>
      </c>
    </row>
    <row r="41" spans="1:8" ht="69.75" customHeight="1" x14ac:dyDescent="0.35">
      <c r="A41" s="17"/>
      <c r="B41" s="58" t="str">
        <f t="array" ref="B41">20&amp;IF(COUNTIFS('Agenda 2026'!$Q$2:$Q$376,DATE(2026,4,20),'Agenda 2026'!$M$2:$M$376,1)&gt;=1,CHAR(10)&amp;IFERROR(INDEX('Agenda 2026'!$B$2:$B$376,MATCH(DATE(2026,4,20)*10+1,'Agenda 2026'!$S$2:$S$376,0)),""),"")&amp;IF(COUNTIFS('Agenda 2026'!$Q$2:$Q$376,DATE(2026,4,20),'Agenda 2026'!$M$2:$M$376,1)&gt;=2,CHAR(10)&amp;IFERROR(INDEX('Agenda 2026'!$B$2:$B$376,MATCH(DATE(2026,4,20)*10+2,'Agenda 2026'!$S$2:$S$376,0)),""),"")&amp;IF(COUNTIFS('Agenda 2026'!$Q$2:$Q$376,DATE(2026,4,20),'Agenda 2026'!$M$2:$M$376,1)&gt;=3,CHAR(10)&amp;IFERROR(INDEX('Agenda 2026'!$B$2:$B$376,MATCH(DATE(2026,4,20)*10+3,'Agenda 2026'!$S$2:$S$376,0)),""),"")&amp;IF(COUNTIFS('Agenda 2026'!$Q$2:$Q$376,DATE(2026,4,20),'Agenda 2026'!$M$2:$M$376,1)&gt;=4,CHAR(10)&amp;IFERROR(INDEX('Agenda 2026'!$B$2:$B$376,MATCH(DATE(2026,4,20)*10+4,'Agenda 2026'!$S$2:$S$376,0)),""),"")&amp;IF(COUNTIFS('Agenda 2026'!$Q$2:$Q$376,DATE(2026,4,20),'Agenda 2026'!$M$2:$M$376,1)&gt;=5,CHAR(10)&amp;IFERROR(INDEX('Agenda 2026'!$B$2:$B$376,MATCH(DATE(2026,4,20)*10+5,'Agenda 2026'!$S$2:$S$376,0)),""),"")&amp;IF(COUNTIFS('Agenda 2026'!$Q$2:$Q$376,DATE(2026,4,20),'Agenda 2026'!$M$2:$M$376,1)&gt;=6,CHAR(10)&amp;IFERROR(INDEX('Agenda 2026'!$B$2:$B$376,MATCH(DATE(2026,4,20)*10+6,'Agenda 2026'!$S$2:$S$376,0)),""),"")&amp;IF(COUNTIFS('Agenda 2026'!$Q$2:$Q$376,DATE(2026,4,20),'Agenda 2026'!$M$2:$M$376,1)&gt;=7,CHAR(10)&amp;IFERROR(INDEX('Agenda 2026'!$B$2:$B$376,MATCH(DATE(2026,4,20)*10+7,'Agenda 2026'!$S$2:$S$376,0)),""),"")&amp;IF(COUNTIFS('Agenda 2026'!$Q$2:$Q$376,DATE(2026,4,20),'Agenda 2026'!$M$2:$M$376,1)&gt;=8,CHAR(10)&amp;IFERROR(INDEX('Agenda 2026'!$B$2:$B$376,MATCH(DATE(2026,4,20)*10+8,'Agenda 2026'!$S$2:$S$376,0)),""),"")&amp;IF(COUNTIFS('Agenda 2026'!$Q$2:$Q$376,DATE(2026,4,20),'Agenda 2026'!$M$2:$M$376,1)&gt;=9,CHAR(10)&amp;IFERROR(INDEX('Agenda 2026'!$B$2:$B$376,MATCH(DATE(2026,4,20)*10+9,'Agenda 2026'!$S$2:$S$376,0)),""),"")&amp;IF(COUNTIFS('Agenda 2026'!$Q$2:$Q$376,DATE(2026,4,20),'Agenda 2026'!$M$2:$M$376,1)&gt;=10,CHAR(10)&amp;IFERROR(INDEX('Agenda 2026'!$B$2:$B$376,MATCH(DATE(2026,4,20)*10+10,'Agenda 2026'!$S$2:$S$376,0)),""),"")&amp;IF(COUNTIFS('Agenda 2026'!$Q$2:$Q$376,DATE(2026,4,20),'Agenda 2026'!$M$2:$M$376,1)&gt;=11,CHAR(10)&amp;IFERROR(INDEX('Agenda 2026'!$B$2:$B$376,MATCH(DATE(2026,4,20)*10+11,'Agenda 2026'!$S$2:$S$376,0)),""),"")&amp;IF(COUNTIFS('Agenda 2026'!$Q$2:$Q$376,DATE(2026,4,20),'Agenda 2026'!$M$2:$M$376,1)&gt;=12,CHAR(10)&amp;IFERROR(INDEX('Agenda 2026'!$B$2:$B$376,MATCH(DATE(2026,4,20)*10+12,'Agenda 2026'!$S$2:$S$376,0)),""),"")</f>
        <v>20</v>
      </c>
      <c r="C41" s="58" t="str">
        <f t="array" ref="C41">21&amp;IF(COUNTIFS('Agenda 2026'!$Q$2:$Q$376,DATE(2026,4,21),'Agenda 2026'!$M$2:$M$376,1)&gt;=1,CHAR(10)&amp;IFERROR(INDEX('Agenda 2026'!$B$2:$B$376,MATCH(DATE(2026,4,21)*10+1,'Agenda 2026'!$S$2:$S$376,0)),""),"")&amp;IF(COUNTIFS('Agenda 2026'!$Q$2:$Q$376,DATE(2026,4,21),'Agenda 2026'!$M$2:$M$376,1)&gt;=2,CHAR(10)&amp;IFERROR(INDEX('Agenda 2026'!$B$2:$B$376,MATCH(DATE(2026,4,21)*10+2,'Agenda 2026'!$S$2:$S$376,0)),""),"")&amp;IF(COUNTIFS('Agenda 2026'!$Q$2:$Q$376,DATE(2026,4,21),'Agenda 2026'!$M$2:$M$376,1)&gt;=3,CHAR(10)&amp;IFERROR(INDEX('Agenda 2026'!$B$2:$B$376,MATCH(DATE(2026,4,21)*10+3,'Agenda 2026'!$S$2:$S$376,0)),""),"")&amp;IF(COUNTIFS('Agenda 2026'!$Q$2:$Q$376,DATE(2026,4,21),'Agenda 2026'!$M$2:$M$376,1)&gt;=4,CHAR(10)&amp;IFERROR(INDEX('Agenda 2026'!$B$2:$B$376,MATCH(DATE(2026,4,21)*10+4,'Agenda 2026'!$S$2:$S$376,0)),""),"")&amp;IF(COUNTIFS('Agenda 2026'!$Q$2:$Q$376,DATE(2026,4,21),'Agenda 2026'!$M$2:$M$376,1)&gt;=5,CHAR(10)&amp;IFERROR(INDEX('Agenda 2026'!$B$2:$B$376,MATCH(DATE(2026,4,21)*10+5,'Agenda 2026'!$S$2:$S$376,0)),""),"")&amp;IF(COUNTIFS('Agenda 2026'!$Q$2:$Q$376,DATE(2026,4,21),'Agenda 2026'!$M$2:$M$376,1)&gt;=6,CHAR(10)&amp;IFERROR(INDEX('Agenda 2026'!$B$2:$B$376,MATCH(DATE(2026,4,21)*10+6,'Agenda 2026'!$S$2:$S$376,0)),""),"")&amp;IF(COUNTIFS('Agenda 2026'!$Q$2:$Q$376,DATE(2026,4,21),'Agenda 2026'!$M$2:$M$376,1)&gt;=7,CHAR(10)&amp;IFERROR(INDEX('Agenda 2026'!$B$2:$B$376,MATCH(DATE(2026,4,21)*10+7,'Agenda 2026'!$S$2:$S$376,0)),""),"")&amp;IF(COUNTIFS('Agenda 2026'!$Q$2:$Q$376,DATE(2026,4,21),'Agenda 2026'!$M$2:$M$376,1)&gt;=8,CHAR(10)&amp;IFERROR(INDEX('Agenda 2026'!$B$2:$B$376,MATCH(DATE(2026,4,21)*10+8,'Agenda 2026'!$S$2:$S$376,0)),""),"")&amp;IF(COUNTIFS('Agenda 2026'!$Q$2:$Q$376,DATE(2026,4,21),'Agenda 2026'!$M$2:$M$376,1)&gt;=9,CHAR(10)&amp;IFERROR(INDEX('Agenda 2026'!$B$2:$B$376,MATCH(DATE(2026,4,21)*10+9,'Agenda 2026'!$S$2:$S$376,0)),""),"")&amp;IF(COUNTIFS('Agenda 2026'!$Q$2:$Q$376,DATE(2026,4,21),'Agenda 2026'!$M$2:$M$376,1)&gt;=10,CHAR(10)&amp;IFERROR(INDEX('Agenda 2026'!$B$2:$B$376,MATCH(DATE(2026,4,21)*10+10,'Agenda 2026'!$S$2:$S$376,0)),""),"")&amp;IF(COUNTIFS('Agenda 2026'!$Q$2:$Q$376,DATE(2026,4,21),'Agenda 2026'!$M$2:$M$376,1)&gt;=11,CHAR(10)&amp;IFERROR(INDEX('Agenda 2026'!$B$2:$B$376,MATCH(DATE(2026,4,21)*10+11,'Agenda 2026'!$S$2:$S$376,0)),""),"")&amp;IF(COUNTIFS('Agenda 2026'!$Q$2:$Q$376,DATE(2026,4,21),'Agenda 2026'!$M$2:$M$376,1)&gt;=12,CHAR(10)&amp;IFERROR(INDEX('Agenda 2026'!$B$2:$B$376,MATCH(DATE(2026,4,21)*10+12,'Agenda 2026'!$S$2:$S$376,0)),""),"")</f>
        <v>21</v>
      </c>
      <c r="D41" s="58" t="str">
        <f t="array" ref="D41">22&amp;IF(COUNTIFS('Agenda 2026'!$Q$2:$Q$376,DATE(2026,4,22),'Agenda 2026'!$M$2:$M$376,1)&gt;=1,CHAR(10)&amp;IFERROR(INDEX('Agenda 2026'!$B$2:$B$376,MATCH(DATE(2026,4,22)*10+1,'Agenda 2026'!$S$2:$S$376,0)),""),"")&amp;IF(COUNTIFS('Agenda 2026'!$Q$2:$Q$376,DATE(2026,4,22),'Agenda 2026'!$M$2:$M$376,1)&gt;=2,CHAR(10)&amp;IFERROR(INDEX('Agenda 2026'!$B$2:$B$376,MATCH(DATE(2026,4,22)*10+2,'Agenda 2026'!$S$2:$S$376,0)),""),"")&amp;IF(COUNTIFS('Agenda 2026'!$Q$2:$Q$376,DATE(2026,4,22),'Agenda 2026'!$M$2:$M$376,1)&gt;=3,CHAR(10)&amp;IFERROR(INDEX('Agenda 2026'!$B$2:$B$376,MATCH(DATE(2026,4,22)*10+3,'Agenda 2026'!$S$2:$S$376,0)),""),"")&amp;IF(COUNTIFS('Agenda 2026'!$Q$2:$Q$376,DATE(2026,4,22),'Agenda 2026'!$M$2:$M$376,1)&gt;=4,CHAR(10)&amp;IFERROR(INDEX('Agenda 2026'!$B$2:$B$376,MATCH(DATE(2026,4,22)*10+4,'Agenda 2026'!$S$2:$S$376,0)),""),"")&amp;IF(COUNTIFS('Agenda 2026'!$Q$2:$Q$376,DATE(2026,4,22),'Agenda 2026'!$M$2:$M$376,1)&gt;=5,CHAR(10)&amp;IFERROR(INDEX('Agenda 2026'!$B$2:$B$376,MATCH(DATE(2026,4,22)*10+5,'Agenda 2026'!$S$2:$S$376,0)),""),"")&amp;IF(COUNTIFS('Agenda 2026'!$Q$2:$Q$376,DATE(2026,4,22),'Agenda 2026'!$M$2:$M$376,1)&gt;=6,CHAR(10)&amp;IFERROR(INDEX('Agenda 2026'!$B$2:$B$376,MATCH(DATE(2026,4,22)*10+6,'Agenda 2026'!$S$2:$S$376,0)),""),"")&amp;IF(COUNTIFS('Agenda 2026'!$Q$2:$Q$376,DATE(2026,4,22),'Agenda 2026'!$M$2:$M$376,1)&gt;=7,CHAR(10)&amp;IFERROR(INDEX('Agenda 2026'!$B$2:$B$376,MATCH(DATE(2026,4,22)*10+7,'Agenda 2026'!$S$2:$S$376,0)),""),"")&amp;IF(COUNTIFS('Agenda 2026'!$Q$2:$Q$376,DATE(2026,4,22),'Agenda 2026'!$M$2:$M$376,1)&gt;=8,CHAR(10)&amp;IFERROR(INDEX('Agenda 2026'!$B$2:$B$376,MATCH(DATE(2026,4,22)*10+8,'Agenda 2026'!$S$2:$S$376,0)),""),"")&amp;IF(COUNTIFS('Agenda 2026'!$Q$2:$Q$376,DATE(2026,4,22),'Agenda 2026'!$M$2:$M$376,1)&gt;=9,CHAR(10)&amp;IFERROR(INDEX('Agenda 2026'!$B$2:$B$376,MATCH(DATE(2026,4,22)*10+9,'Agenda 2026'!$S$2:$S$376,0)),""),"")&amp;IF(COUNTIFS('Agenda 2026'!$Q$2:$Q$376,DATE(2026,4,22),'Agenda 2026'!$M$2:$M$376,1)&gt;=10,CHAR(10)&amp;IFERROR(INDEX('Agenda 2026'!$B$2:$B$376,MATCH(DATE(2026,4,22)*10+10,'Agenda 2026'!$S$2:$S$376,0)),""),"")&amp;IF(COUNTIFS('Agenda 2026'!$Q$2:$Q$376,DATE(2026,4,22),'Agenda 2026'!$M$2:$M$376,1)&gt;=11,CHAR(10)&amp;IFERROR(INDEX('Agenda 2026'!$B$2:$B$376,MATCH(DATE(2026,4,22)*10+11,'Agenda 2026'!$S$2:$S$376,0)),""),"")&amp;IF(COUNTIFS('Agenda 2026'!$Q$2:$Q$376,DATE(2026,4,22),'Agenda 2026'!$M$2:$M$376,1)&gt;=12,CHAR(10)&amp;IFERROR(INDEX('Agenda 2026'!$B$2:$B$376,MATCH(DATE(2026,4,22)*10+12,'Agenda 2026'!$S$2:$S$376,0)),""),"")</f>
        <v>22</v>
      </c>
      <c r="E41" s="58" t="str">
        <f t="array" ref="E41">23&amp;IF(COUNTIFS('Agenda 2026'!$Q$2:$Q$376,DATE(2026,4,23),'Agenda 2026'!$M$2:$M$376,1)&gt;=1,CHAR(10)&amp;IFERROR(INDEX('Agenda 2026'!$B$2:$B$376,MATCH(DATE(2026,4,23)*10+1,'Agenda 2026'!$S$2:$S$376,0)),""),"")&amp;IF(COUNTIFS('Agenda 2026'!$Q$2:$Q$376,DATE(2026,4,23),'Agenda 2026'!$M$2:$M$376,1)&gt;=2,CHAR(10)&amp;IFERROR(INDEX('Agenda 2026'!$B$2:$B$376,MATCH(DATE(2026,4,23)*10+2,'Agenda 2026'!$S$2:$S$376,0)),""),"")&amp;IF(COUNTIFS('Agenda 2026'!$Q$2:$Q$376,DATE(2026,4,23),'Agenda 2026'!$M$2:$M$376,1)&gt;=3,CHAR(10)&amp;IFERROR(INDEX('Agenda 2026'!$B$2:$B$376,MATCH(DATE(2026,4,23)*10+3,'Agenda 2026'!$S$2:$S$376,0)),""),"")&amp;IF(COUNTIFS('Agenda 2026'!$Q$2:$Q$376,DATE(2026,4,23),'Agenda 2026'!$M$2:$M$376,1)&gt;=4,CHAR(10)&amp;IFERROR(INDEX('Agenda 2026'!$B$2:$B$376,MATCH(DATE(2026,4,23)*10+4,'Agenda 2026'!$S$2:$S$376,0)),""),"")&amp;IF(COUNTIFS('Agenda 2026'!$Q$2:$Q$376,DATE(2026,4,23),'Agenda 2026'!$M$2:$M$376,1)&gt;=5,CHAR(10)&amp;IFERROR(INDEX('Agenda 2026'!$B$2:$B$376,MATCH(DATE(2026,4,23)*10+5,'Agenda 2026'!$S$2:$S$376,0)),""),"")&amp;IF(COUNTIFS('Agenda 2026'!$Q$2:$Q$376,DATE(2026,4,23),'Agenda 2026'!$M$2:$M$376,1)&gt;=6,CHAR(10)&amp;IFERROR(INDEX('Agenda 2026'!$B$2:$B$376,MATCH(DATE(2026,4,23)*10+6,'Agenda 2026'!$S$2:$S$376,0)),""),"")&amp;IF(COUNTIFS('Agenda 2026'!$Q$2:$Q$376,DATE(2026,4,23),'Agenda 2026'!$M$2:$M$376,1)&gt;=7,CHAR(10)&amp;IFERROR(INDEX('Agenda 2026'!$B$2:$B$376,MATCH(DATE(2026,4,23)*10+7,'Agenda 2026'!$S$2:$S$376,0)),""),"")&amp;IF(COUNTIFS('Agenda 2026'!$Q$2:$Q$376,DATE(2026,4,23),'Agenda 2026'!$M$2:$M$376,1)&gt;=8,CHAR(10)&amp;IFERROR(INDEX('Agenda 2026'!$B$2:$B$376,MATCH(DATE(2026,4,23)*10+8,'Agenda 2026'!$S$2:$S$376,0)),""),"")&amp;IF(COUNTIFS('Agenda 2026'!$Q$2:$Q$376,DATE(2026,4,23),'Agenda 2026'!$M$2:$M$376,1)&gt;=9,CHAR(10)&amp;IFERROR(INDEX('Agenda 2026'!$B$2:$B$376,MATCH(DATE(2026,4,23)*10+9,'Agenda 2026'!$S$2:$S$376,0)),""),"")&amp;IF(COUNTIFS('Agenda 2026'!$Q$2:$Q$376,DATE(2026,4,23),'Agenda 2026'!$M$2:$M$376,1)&gt;=10,CHAR(10)&amp;IFERROR(INDEX('Agenda 2026'!$B$2:$B$376,MATCH(DATE(2026,4,23)*10+10,'Agenda 2026'!$S$2:$S$376,0)),""),"")&amp;IF(COUNTIFS('Agenda 2026'!$Q$2:$Q$376,DATE(2026,4,23),'Agenda 2026'!$M$2:$M$376,1)&gt;=11,CHAR(10)&amp;IFERROR(INDEX('Agenda 2026'!$B$2:$B$376,MATCH(DATE(2026,4,23)*10+11,'Agenda 2026'!$S$2:$S$376,0)),""),"")&amp;IF(COUNTIFS('Agenda 2026'!$Q$2:$Q$376,DATE(2026,4,23),'Agenda 2026'!$M$2:$M$376,1)&gt;=12,CHAR(10)&amp;IFERROR(INDEX('Agenda 2026'!$B$2:$B$376,MATCH(DATE(2026,4,23)*10+12,'Agenda 2026'!$S$2:$S$376,0)),""),"")</f>
        <v>23</v>
      </c>
      <c r="F41" s="58" t="str">
        <f t="array" ref="F41">24&amp;IF(COUNTIFS('Agenda 2026'!$Q$2:$Q$376,DATE(2026,4,24),'Agenda 2026'!$M$2:$M$376,1)&gt;=1,CHAR(10)&amp;IFERROR(INDEX('Agenda 2026'!$B$2:$B$376,MATCH(DATE(2026,4,24)*10+1,'Agenda 2026'!$S$2:$S$376,0)),""),"")&amp;IF(COUNTIFS('Agenda 2026'!$Q$2:$Q$376,DATE(2026,4,24),'Agenda 2026'!$M$2:$M$376,1)&gt;=2,CHAR(10)&amp;IFERROR(INDEX('Agenda 2026'!$B$2:$B$376,MATCH(DATE(2026,4,24)*10+2,'Agenda 2026'!$S$2:$S$376,0)),""),"")&amp;IF(COUNTIFS('Agenda 2026'!$Q$2:$Q$376,DATE(2026,4,24),'Agenda 2026'!$M$2:$M$376,1)&gt;=3,CHAR(10)&amp;IFERROR(INDEX('Agenda 2026'!$B$2:$B$376,MATCH(DATE(2026,4,24)*10+3,'Agenda 2026'!$S$2:$S$376,0)),""),"")&amp;IF(COUNTIFS('Agenda 2026'!$Q$2:$Q$376,DATE(2026,4,24),'Agenda 2026'!$M$2:$M$376,1)&gt;=4,CHAR(10)&amp;IFERROR(INDEX('Agenda 2026'!$B$2:$B$376,MATCH(DATE(2026,4,24)*10+4,'Agenda 2026'!$S$2:$S$376,0)),""),"")&amp;IF(COUNTIFS('Agenda 2026'!$Q$2:$Q$376,DATE(2026,4,24),'Agenda 2026'!$M$2:$M$376,1)&gt;=5,CHAR(10)&amp;IFERROR(INDEX('Agenda 2026'!$B$2:$B$376,MATCH(DATE(2026,4,24)*10+5,'Agenda 2026'!$S$2:$S$376,0)),""),"")&amp;IF(COUNTIFS('Agenda 2026'!$Q$2:$Q$376,DATE(2026,4,24),'Agenda 2026'!$M$2:$M$376,1)&gt;=6,CHAR(10)&amp;IFERROR(INDEX('Agenda 2026'!$B$2:$B$376,MATCH(DATE(2026,4,24)*10+6,'Agenda 2026'!$S$2:$S$376,0)),""),"")&amp;IF(COUNTIFS('Agenda 2026'!$Q$2:$Q$376,DATE(2026,4,24),'Agenda 2026'!$M$2:$M$376,1)&gt;=7,CHAR(10)&amp;IFERROR(INDEX('Agenda 2026'!$B$2:$B$376,MATCH(DATE(2026,4,24)*10+7,'Agenda 2026'!$S$2:$S$376,0)),""),"")&amp;IF(COUNTIFS('Agenda 2026'!$Q$2:$Q$376,DATE(2026,4,24),'Agenda 2026'!$M$2:$M$376,1)&gt;=8,CHAR(10)&amp;IFERROR(INDEX('Agenda 2026'!$B$2:$B$376,MATCH(DATE(2026,4,24)*10+8,'Agenda 2026'!$S$2:$S$376,0)),""),"")&amp;IF(COUNTIFS('Agenda 2026'!$Q$2:$Q$376,DATE(2026,4,24),'Agenda 2026'!$M$2:$M$376,1)&gt;=9,CHAR(10)&amp;IFERROR(INDEX('Agenda 2026'!$B$2:$B$376,MATCH(DATE(2026,4,24)*10+9,'Agenda 2026'!$S$2:$S$376,0)),""),"")&amp;IF(COUNTIFS('Agenda 2026'!$Q$2:$Q$376,DATE(2026,4,24),'Agenda 2026'!$M$2:$M$376,1)&gt;=10,CHAR(10)&amp;IFERROR(INDEX('Agenda 2026'!$B$2:$B$376,MATCH(DATE(2026,4,24)*10+10,'Agenda 2026'!$S$2:$S$376,0)),""),"")&amp;IF(COUNTIFS('Agenda 2026'!$Q$2:$Q$376,DATE(2026,4,24),'Agenda 2026'!$M$2:$M$376,1)&gt;=11,CHAR(10)&amp;IFERROR(INDEX('Agenda 2026'!$B$2:$B$376,MATCH(DATE(2026,4,24)*10+11,'Agenda 2026'!$S$2:$S$376,0)),""),"")&amp;IF(COUNTIFS('Agenda 2026'!$Q$2:$Q$376,DATE(2026,4,24),'Agenda 2026'!$M$2:$M$376,1)&gt;=12,CHAR(10)&amp;IFERROR(INDEX('Agenda 2026'!$B$2:$B$376,MATCH(DATE(2026,4,24)*10+12,'Agenda 2026'!$S$2:$S$376,0)),""),"")</f>
        <v>24</v>
      </c>
      <c r="G41" s="58" t="str">
        <f t="array" ref="G41">25&amp;IF(COUNTIFS('Agenda 2026'!$Q$2:$Q$376,DATE(2026,4,25),'Agenda 2026'!$M$2:$M$376,1)&gt;=1,CHAR(10)&amp;IFERROR(INDEX('Agenda 2026'!$B$2:$B$376,MATCH(DATE(2026,4,25)*10+1,'Agenda 2026'!$S$2:$S$376,0)),""),"")&amp;IF(COUNTIFS('Agenda 2026'!$Q$2:$Q$376,DATE(2026,4,25),'Agenda 2026'!$M$2:$M$376,1)&gt;=2,CHAR(10)&amp;IFERROR(INDEX('Agenda 2026'!$B$2:$B$376,MATCH(DATE(2026,4,25)*10+2,'Agenda 2026'!$S$2:$S$376,0)),""),"")&amp;IF(COUNTIFS('Agenda 2026'!$Q$2:$Q$376,DATE(2026,4,25),'Agenda 2026'!$M$2:$M$376,1)&gt;=3,CHAR(10)&amp;IFERROR(INDEX('Agenda 2026'!$B$2:$B$376,MATCH(DATE(2026,4,25)*10+3,'Agenda 2026'!$S$2:$S$376,0)),""),"")&amp;IF(COUNTIFS('Agenda 2026'!$Q$2:$Q$376,DATE(2026,4,25),'Agenda 2026'!$M$2:$M$376,1)&gt;=4,CHAR(10)&amp;IFERROR(INDEX('Agenda 2026'!$B$2:$B$376,MATCH(DATE(2026,4,25)*10+4,'Agenda 2026'!$S$2:$S$376,0)),""),"")&amp;IF(COUNTIFS('Agenda 2026'!$Q$2:$Q$376,DATE(2026,4,25),'Agenda 2026'!$M$2:$M$376,1)&gt;=5,CHAR(10)&amp;IFERROR(INDEX('Agenda 2026'!$B$2:$B$376,MATCH(DATE(2026,4,25)*10+5,'Agenda 2026'!$S$2:$S$376,0)),""),"")&amp;IF(COUNTIFS('Agenda 2026'!$Q$2:$Q$376,DATE(2026,4,25),'Agenda 2026'!$M$2:$M$376,1)&gt;=6,CHAR(10)&amp;IFERROR(INDEX('Agenda 2026'!$B$2:$B$376,MATCH(DATE(2026,4,25)*10+6,'Agenda 2026'!$S$2:$S$376,0)),""),"")&amp;IF(COUNTIFS('Agenda 2026'!$Q$2:$Q$376,DATE(2026,4,25),'Agenda 2026'!$M$2:$M$376,1)&gt;=7,CHAR(10)&amp;IFERROR(INDEX('Agenda 2026'!$B$2:$B$376,MATCH(DATE(2026,4,25)*10+7,'Agenda 2026'!$S$2:$S$376,0)),""),"")&amp;IF(COUNTIFS('Agenda 2026'!$Q$2:$Q$376,DATE(2026,4,25),'Agenda 2026'!$M$2:$M$376,1)&gt;=8,CHAR(10)&amp;IFERROR(INDEX('Agenda 2026'!$B$2:$B$376,MATCH(DATE(2026,4,25)*10+8,'Agenda 2026'!$S$2:$S$376,0)),""),"")&amp;IF(COUNTIFS('Agenda 2026'!$Q$2:$Q$376,DATE(2026,4,25),'Agenda 2026'!$M$2:$M$376,1)&gt;=9,CHAR(10)&amp;IFERROR(INDEX('Agenda 2026'!$B$2:$B$376,MATCH(DATE(2026,4,25)*10+9,'Agenda 2026'!$S$2:$S$376,0)),""),"")&amp;IF(COUNTIFS('Agenda 2026'!$Q$2:$Q$376,DATE(2026,4,25),'Agenda 2026'!$M$2:$M$376,1)&gt;=10,CHAR(10)&amp;IFERROR(INDEX('Agenda 2026'!$B$2:$B$376,MATCH(DATE(2026,4,25)*10+10,'Agenda 2026'!$S$2:$S$376,0)),""),"")&amp;IF(COUNTIFS('Agenda 2026'!$Q$2:$Q$376,DATE(2026,4,25),'Agenda 2026'!$M$2:$M$376,1)&gt;=11,CHAR(10)&amp;IFERROR(INDEX('Agenda 2026'!$B$2:$B$376,MATCH(DATE(2026,4,25)*10+11,'Agenda 2026'!$S$2:$S$376,0)),""),"")&amp;IF(COUNTIFS('Agenda 2026'!$Q$2:$Q$376,DATE(2026,4,25),'Agenda 2026'!$M$2:$M$376,1)&gt;=12,CHAR(10)&amp;IFERROR(INDEX('Agenda 2026'!$B$2:$B$376,MATCH(DATE(2026,4,25)*10+12,'Agenda 2026'!$S$2:$S$376,0)),""),"")</f>
        <v>25</v>
      </c>
      <c r="H41" s="58" t="str">
        <f t="array" ref="H41">26&amp;IF(COUNTIFS('Agenda 2026'!$Q$2:$Q$376,DATE(2026,4,26),'Agenda 2026'!$M$2:$M$376,1)&gt;=1,CHAR(10)&amp;IFERROR(INDEX('Agenda 2026'!$B$2:$B$376,MATCH(DATE(2026,4,26)*10+1,'Agenda 2026'!$S$2:$S$376,0)),""),"")&amp;IF(COUNTIFS('Agenda 2026'!$Q$2:$Q$376,DATE(2026,4,26),'Agenda 2026'!$M$2:$M$376,1)&gt;=2,CHAR(10)&amp;IFERROR(INDEX('Agenda 2026'!$B$2:$B$376,MATCH(DATE(2026,4,26)*10+2,'Agenda 2026'!$S$2:$S$376,0)),""),"")&amp;IF(COUNTIFS('Agenda 2026'!$Q$2:$Q$376,DATE(2026,4,26),'Agenda 2026'!$M$2:$M$376,1)&gt;=3,CHAR(10)&amp;IFERROR(INDEX('Agenda 2026'!$B$2:$B$376,MATCH(DATE(2026,4,26)*10+3,'Agenda 2026'!$S$2:$S$376,0)),""),"")&amp;IF(COUNTIFS('Agenda 2026'!$Q$2:$Q$376,DATE(2026,4,26),'Agenda 2026'!$M$2:$M$376,1)&gt;=4,CHAR(10)&amp;IFERROR(INDEX('Agenda 2026'!$B$2:$B$376,MATCH(DATE(2026,4,26)*10+4,'Agenda 2026'!$S$2:$S$376,0)),""),"")&amp;IF(COUNTIFS('Agenda 2026'!$Q$2:$Q$376,DATE(2026,4,26),'Agenda 2026'!$M$2:$M$376,1)&gt;=5,CHAR(10)&amp;IFERROR(INDEX('Agenda 2026'!$B$2:$B$376,MATCH(DATE(2026,4,26)*10+5,'Agenda 2026'!$S$2:$S$376,0)),""),"")&amp;IF(COUNTIFS('Agenda 2026'!$Q$2:$Q$376,DATE(2026,4,26),'Agenda 2026'!$M$2:$M$376,1)&gt;=6,CHAR(10)&amp;IFERROR(INDEX('Agenda 2026'!$B$2:$B$376,MATCH(DATE(2026,4,26)*10+6,'Agenda 2026'!$S$2:$S$376,0)),""),"")&amp;IF(COUNTIFS('Agenda 2026'!$Q$2:$Q$376,DATE(2026,4,26),'Agenda 2026'!$M$2:$M$376,1)&gt;=7,CHAR(10)&amp;IFERROR(INDEX('Agenda 2026'!$B$2:$B$376,MATCH(DATE(2026,4,26)*10+7,'Agenda 2026'!$S$2:$S$376,0)),""),"")&amp;IF(COUNTIFS('Agenda 2026'!$Q$2:$Q$376,DATE(2026,4,26),'Agenda 2026'!$M$2:$M$376,1)&gt;=8,CHAR(10)&amp;IFERROR(INDEX('Agenda 2026'!$B$2:$B$376,MATCH(DATE(2026,4,26)*10+8,'Agenda 2026'!$S$2:$S$376,0)),""),"")&amp;IF(COUNTIFS('Agenda 2026'!$Q$2:$Q$376,DATE(2026,4,26),'Agenda 2026'!$M$2:$M$376,1)&gt;=9,CHAR(10)&amp;IFERROR(INDEX('Agenda 2026'!$B$2:$B$376,MATCH(DATE(2026,4,26)*10+9,'Agenda 2026'!$S$2:$S$376,0)),""),"")&amp;IF(COUNTIFS('Agenda 2026'!$Q$2:$Q$376,DATE(2026,4,26),'Agenda 2026'!$M$2:$M$376,1)&gt;=10,CHAR(10)&amp;IFERROR(INDEX('Agenda 2026'!$B$2:$B$376,MATCH(DATE(2026,4,26)*10+10,'Agenda 2026'!$S$2:$S$376,0)),""),"")&amp;IF(COUNTIFS('Agenda 2026'!$Q$2:$Q$376,DATE(2026,4,26),'Agenda 2026'!$M$2:$M$376,1)&gt;=11,CHAR(10)&amp;IFERROR(INDEX('Agenda 2026'!$B$2:$B$376,MATCH(DATE(2026,4,26)*10+11,'Agenda 2026'!$S$2:$S$376,0)),""),"")&amp;IF(COUNTIFS('Agenda 2026'!$Q$2:$Q$376,DATE(2026,4,26),'Agenda 2026'!$M$2:$M$376,1)&gt;=12,CHAR(10)&amp;IFERROR(INDEX('Agenda 2026'!$B$2:$B$376,MATCH(DATE(2026,4,26)*10+12,'Agenda 2026'!$S$2:$S$376,0)),""),"")</f>
        <v>26</v>
      </c>
    </row>
    <row r="42" spans="1:8" ht="45.75" customHeight="1" x14ac:dyDescent="0.35">
      <c r="A42" s="17"/>
      <c r="B42" s="58" t="str">
        <f t="array" ref="B42">27&amp;IF(COUNTIFS('Agenda 2026'!$Q$2:$Q$376,DATE(2026,4,27),'Agenda 2026'!$M$2:$M$376,1)&gt;=1,CHAR(10)&amp;IFERROR(INDEX('Agenda 2026'!$B$2:$B$376,MATCH(DATE(2026,4,27)*10+1,'Agenda 2026'!$S$2:$S$376,0)),""),"")&amp;IF(COUNTIFS('Agenda 2026'!$Q$2:$Q$376,DATE(2026,4,27),'Agenda 2026'!$M$2:$M$376,1)&gt;=2,CHAR(10)&amp;IFERROR(INDEX('Agenda 2026'!$B$2:$B$376,MATCH(DATE(2026,4,27)*10+2,'Agenda 2026'!$S$2:$S$376,0)),""),"")&amp;IF(COUNTIFS('Agenda 2026'!$Q$2:$Q$376,DATE(2026,4,27),'Agenda 2026'!$M$2:$M$376,1)&gt;=3,CHAR(10)&amp;IFERROR(INDEX('Agenda 2026'!$B$2:$B$376,MATCH(DATE(2026,4,27)*10+3,'Agenda 2026'!$S$2:$S$376,0)),""),"")&amp;IF(COUNTIFS('Agenda 2026'!$Q$2:$Q$376,DATE(2026,4,27),'Agenda 2026'!$M$2:$M$376,1)&gt;=4,CHAR(10)&amp;IFERROR(INDEX('Agenda 2026'!$B$2:$B$376,MATCH(DATE(2026,4,27)*10+4,'Agenda 2026'!$S$2:$S$376,0)),""),"")&amp;IF(COUNTIFS('Agenda 2026'!$Q$2:$Q$376,DATE(2026,4,27),'Agenda 2026'!$M$2:$M$376,1)&gt;=5,CHAR(10)&amp;IFERROR(INDEX('Agenda 2026'!$B$2:$B$376,MATCH(DATE(2026,4,27)*10+5,'Agenda 2026'!$S$2:$S$376,0)),""),"")&amp;IF(COUNTIFS('Agenda 2026'!$Q$2:$Q$376,DATE(2026,4,27),'Agenda 2026'!$M$2:$M$376,1)&gt;=6,CHAR(10)&amp;IFERROR(INDEX('Agenda 2026'!$B$2:$B$376,MATCH(DATE(2026,4,27)*10+6,'Agenda 2026'!$S$2:$S$376,0)),""),"")&amp;IF(COUNTIFS('Agenda 2026'!$Q$2:$Q$376,DATE(2026,4,27),'Agenda 2026'!$M$2:$M$376,1)&gt;=7,CHAR(10)&amp;IFERROR(INDEX('Agenda 2026'!$B$2:$B$376,MATCH(DATE(2026,4,27)*10+7,'Agenda 2026'!$S$2:$S$376,0)),""),"")&amp;IF(COUNTIFS('Agenda 2026'!$Q$2:$Q$376,DATE(2026,4,27),'Agenda 2026'!$M$2:$M$376,1)&gt;=8,CHAR(10)&amp;IFERROR(INDEX('Agenda 2026'!$B$2:$B$376,MATCH(DATE(2026,4,27)*10+8,'Agenda 2026'!$S$2:$S$376,0)),""),"")&amp;IF(COUNTIFS('Agenda 2026'!$Q$2:$Q$376,DATE(2026,4,27),'Agenda 2026'!$M$2:$M$376,1)&gt;=9,CHAR(10)&amp;IFERROR(INDEX('Agenda 2026'!$B$2:$B$376,MATCH(DATE(2026,4,27)*10+9,'Agenda 2026'!$S$2:$S$376,0)),""),"")&amp;IF(COUNTIFS('Agenda 2026'!$Q$2:$Q$376,DATE(2026,4,27),'Agenda 2026'!$M$2:$M$376,1)&gt;=10,CHAR(10)&amp;IFERROR(INDEX('Agenda 2026'!$B$2:$B$376,MATCH(DATE(2026,4,27)*10+10,'Agenda 2026'!$S$2:$S$376,0)),""),"")&amp;IF(COUNTIFS('Agenda 2026'!$Q$2:$Q$376,DATE(2026,4,27),'Agenda 2026'!$M$2:$M$376,1)&gt;=11,CHAR(10)&amp;IFERROR(INDEX('Agenda 2026'!$B$2:$B$376,MATCH(DATE(2026,4,27)*10+11,'Agenda 2026'!$S$2:$S$376,0)),""),"")&amp;IF(COUNTIFS('Agenda 2026'!$Q$2:$Q$376,DATE(2026,4,27),'Agenda 2026'!$M$2:$M$376,1)&gt;=12,CHAR(10)&amp;IFERROR(INDEX('Agenda 2026'!$B$2:$B$376,MATCH(DATE(2026,4,27)*10+12,'Agenda 2026'!$S$2:$S$376,0)),""),"")</f>
        <v>27</v>
      </c>
      <c r="C42" s="58" t="str">
        <f t="array" ref="C42">28&amp;IF(COUNTIFS('Agenda 2026'!$Q$2:$Q$376,DATE(2026,4,28),'Agenda 2026'!$M$2:$M$376,1)&gt;=1,CHAR(10)&amp;IFERROR(INDEX('Agenda 2026'!$B$2:$B$376,MATCH(DATE(2026,4,28)*10+1,'Agenda 2026'!$S$2:$S$376,0)),""),"")&amp;IF(COUNTIFS('Agenda 2026'!$Q$2:$Q$376,DATE(2026,4,28),'Agenda 2026'!$M$2:$M$376,1)&gt;=2,CHAR(10)&amp;IFERROR(INDEX('Agenda 2026'!$B$2:$B$376,MATCH(DATE(2026,4,28)*10+2,'Agenda 2026'!$S$2:$S$376,0)),""),"")&amp;IF(COUNTIFS('Agenda 2026'!$Q$2:$Q$376,DATE(2026,4,28),'Agenda 2026'!$M$2:$M$376,1)&gt;=3,CHAR(10)&amp;IFERROR(INDEX('Agenda 2026'!$B$2:$B$376,MATCH(DATE(2026,4,28)*10+3,'Agenda 2026'!$S$2:$S$376,0)),""),"")&amp;IF(COUNTIFS('Agenda 2026'!$Q$2:$Q$376,DATE(2026,4,28),'Agenda 2026'!$M$2:$M$376,1)&gt;=4,CHAR(10)&amp;IFERROR(INDEX('Agenda 2026'!$B$2:$B$376,MATCH(DATE(2026,4,28)*10+4,'Agenda 2026'!$S$2:$S$376,0)),""),"")&amp;IF(COUNTIFS('Agenda 2026'!$Q$2:$Q$376,DATE(2026,4,28),'Agenda 2026'!$M$2:$M$376,1)&gt;=5,CHAR(10)&amp;IFERROR(INDEX('Agenda 2026'!$B$2:$B$376,MATCH(DATE(2026,4,28)*10+5,'Agenda 2026'!$S$2:$S$376,0)),""),"")&amp;IF(COUNTIFS('Agenda 2026'!$Q$2:$Q$376,DATE(2026,4,28),'Agenda 2026'!$M$2:$M$376,1)&gt;=6,CHAR(10)&amp;IFERROR(INDEX('Agenda 2026'!$B$2:$B$376,MATCH(DATE(2026,4,28)*10+6,'Agenda 2026'!$S$2:$S$376,0)),""),"")&amp;IF(COUNTIFS('Agenda 2026'!$Q$2:$Q$376,DATE(2026,4,28),'Agenda 2026'!$M$2:$M$376,1)&gt;=7,CHAR(10)&amp;IFERROR(INDEX('Agenda 2026'!$B$2:$B$376,MATCH(DATE(2026,4,28)*10+7,'Agenda 2026'!$S$2:$S$376,0)),""),"")&amp;IF(COUNTIFS('Agenda 2026'!$Q$2:$Q$376,DATE(2026,4,28),'Agenda 2026'!$M$2:$M$376,1)&gt;=8,CHAR(10)&amp;IFERROR(INDEX('Agenda 2026'!$B$2:$B$376,MATCH(DATE(2026,4,28)*10+8,'Agenda 2026'!$S$2:$S$376,0)),""),"")&amp;IF(COUNTIFS('Agenda 2026'!$Q$2:$Q$376,DATE(2026,4,28),'Agenda 2026'!$M$2:$M$376,1)&gt;=9,CHAR(10)&amp;IFERROR(INDEX('Agenda 2026'!$B$2:$B$376,MATCH(DATE(2026,4,28)*10+9,'Agenda 2026'!$S$2:$S$376,0)),""),"")&amp;IF(COUNTIFS('Agenda 2026'!$Q$2:$Q$376,DATE(2026,4,28),'Agenda 2026'!$M$2:$M$376,1)&gt;=10,CHAR(10)&amp;IFERROR(INDEX('Agenda 2026'!$B$2:$B$376,MATCH(DATE(2026,4,28)*10+10,'Agenda 2026'!$S$2:$S$376,0)),""),"")&amp;IF(COUNTIFS('Agenda 2026'!$Q$2:$Q$376,DATE(2026,4,28),'Agenda 2026'!$M$2:$M$376,1)&gt;=11,CHAR(10)&amp;IFERROR(INDEX('Agenda 2026'!$B$2:$B$376,MATCH(DATE(2026,4,28)*10+11,'Agenda 2026'!$S$2:$S$376,0)),""),"")&amp;IF(COUNTIFS('Agenda 2026'!$Q$2:$Q$376,DATE(2026,4,28),'Agenda 2026'!$M$2:$M$376,1)&gt;=12,CHAR(10)&amp;IFERROR(INDEX('Agenda 2026'!$B$2:$B$376,MATCH(DATE(2026,4,28)*10+12,'Agenda 2026'!$S$2:$S$376,0)),""),"")</f>
        <v>28</v>
      </c>
      <c r="D42" s="58" t="str">
        <f t="array" ref="D42">29&amp;IF(COUNTIFS('Agenda 2026'!$Q$2:$Q$376,DATE(2026,4,29),'Agenda 2026'!$M$2:$M$376,1)&gt;=1,CHAR(10)&amp;IFERROR(INDEX('Agenda 2026'!$B$2:$B$376,MATCH(DATE(2026,4,29)*10+1,'Agenda 2026'!$S$2:$S$376,0)),""),"")&amp;IF(COUNTIFS('Agenda 2026'!$Q$2:$Q$376,DATE(2026,4,29),'Agenda 2026'!$M$2:$M$376,1)&gt;=2,CHAR(10)&amp;IFERROR(INDEX('Agenda 2026'!$B$2:$B$376,MATCH(DATE(2026,4,29)*10+2,'Agenda 2026'!$S$2:$S$376,0)),""),"")&amp;IF(COUNTIFS('Agenda 2026'!$Q$2:$Q$376,DATE(2026,4,29),'Agenda 2026'!$M$2:$M$376,1)&gt;=3,CHAR(10)&amp;IFERROR(INDEX('Agenda 2026'!$B$2:$B$376,MATCH(DATE(2026,4,29)*10+3,'Agenda 2026'!$S$2:$S$376,0)),""),"")&amp;IF(COUNTIFS('Agenda 2026'!$Q$2:$Q$376,DATE(2026,4,29),'Agenda 2026'!$M$2:$M$376,1)&gt;=4,CHAR(10)&amp;IFERROR(INDEX('Agenda 2026'!$B$2:$B$376,MATCH(DATE(2026,4,29)*10+4,'Agenda 2026'!$S$2:$S$376,0)),""),"")&amp;IF(COUNTIFS('Agenda 2026'!$Q$2:$Q$376,DATE(2026,4,29),'Agenda 2026'!$M$2:$M$376,1)&gt;=5,CHAR(10)&amp;IFERROR(INDEX('Agenda 2026'!$B$2:$B$376,MATCH(DATE(2026,4,29)*10+5,'Agenda 2026'!$S$2:$S$376,0)),""),"")&amp;IF(COUNTIFS('Agenda 2026'!$Q$2:$Q$376,DATE(2026,4,29),'Agenda 2026'!$M$2:$M$376,1)&gt;=6,CHAR(10)&amp;IFERROR(INDEX('Agenda 2026'!$B$2:$B$376,MATCH(DATE(2026,4,29)*10+6,'Agenda 2026'!$S$2:$S$376,0)),""),"")&amp;IF(COUNTIFS('Agenda 2026'!$Q$2:$Q$376,DATE(2026,4,29),'Agenda 2026'!$M$2:$M$376,1)&gt;=7,CHAR(10)&amp;IFERROR(INDEX('Agenda 2026'!$B$2:$B$376,MATCH(DATE(2026,4,29)*10+7,'Agenda 2026'!$S$2:$S$376,0)),""),"")&amp;IF(COUNTIFS('Agenda 2026'!$Q$2:$Q$376,DATE(2026,4,29),'Agenda 2026'!$M$2:$M$376,1)&gt;=8,CHAR(10)&amp;IFERROR(INDEX('Agenda 2026'!$B$2:$B$376,MATCH(DATE(2026,4,29)*10+8,'Agenda 2026'!$S$2:$S$376,0)),""),"")&amp;IF(COUNTIFS('Agenda 2026'!$Q$2:$Q$376,DATE(2026,4,29),'Agenda 2026'!$M$2:$M$376,1)&gt;=9,CHAR(10)&amp;IFERROR(INDEX('Agenda 2026'!$B$2:$B$376,MATCH(DATE(2026,4,29)*10+9,'Agenda 2026'!$S$2:$S$376,0)),""),"")&amp;IF(COUNTIFS('Agenda 2026'!$Q$2:$Q$376,DATE(2026,4,29),'Agenda 2026'!$M$2:$M$376,1)&gt;=10,CHAR(10)&amp;IFERROR(INDEX('Agenda 2026'!$B$2:$B$376,MATCH(DATE(2026,4,29)*10+10,'Agenda 2026'!$S$2:$S$376,0)),""),"")&amp;IF(COUNTIFS('Agenda 2026'!$Q$2:$Q$376,DATE(2026,4,29),'Agenda 2026'!$M$2:$M$376,1)&gt;=11,CHAR(10)&amp;IFERROR(INDEX('Agenda 2026'!$B$2:$B$376,MATCH(DATE(2026,4,29)*10+11,'Agenda 2026'!$S$2:$S$376,0)),""),"")&amp;IF(COUNTIFS('Agenda 2026'!$Q$2:$Q$376,DATE(2026,4,29),'Agenda 2026'!$M$2:$M$376,1)&gt;=12,CHAR(10)&amp;IFERROR(INDEX('Agenda 2026'!$B$2:$B$376,MATCH(DATE(2026,4,29)*10+12,'Agenda 2026'!$S$2:$S$376,0)),""),"")</f>
        <v>29</v>
      </c>
      <c r="E42" s="58" t="str">
        <f t="array" ref="E42">30&amp;IF(COUNTIFS('Agenda 2026'!$Q$2:$Q$376,DATE(2026,4,30),'Agenda 2026'!$M$2:$M$376,1)&gt;=1,CHAR(10)&amp;IFERROR(INDEX('Agenda 2026'!$B$2:$B$376,MATCH(DATE(2026,4,30)*10+1,'Agenda 2026'!$S$2:$S$376,0)),""),"")&amp;IF(COUNTIFS('Agenda 2026'!$Q$2:$Q$376,DATE(2026,4,30),'Agenda 2026'!$M$2:$M$376,1)&gt;=2,CHAR(10)&amp;IFERROR(INDEX('Agenda 2026'!$B$2:$B$376,MATCH(DATE(2026,4,30)*10+2,'Agenda 2026'!$S$2:$S$376,0)),""),"")&amp;IF(COUNTIFS('Agenda 2026'!$Q$2:$Q$376,DATE(2026,4,30),'Agenda 2026'!$M$2:$M$376,1)&gt;=3,CHAR(10)&amp;IFERROR(INDEX('Agenda 2026'!$B$2:$B$376,MATCH(DATE(2026,4,30)*10+3,'Agenda 2026'!$S$2:$S$376,0)),""),"")&amp;IF(COUNTIFS('Agenda 2026'!$Q$2:$Q$376,DATE(2026,4,30),'Agenda 2026'!$M$2:$M$376,1)&gt;=4,CHAR(10)&amp;IFERROR(INDEX('Agenda 2026'!$B$2:$B$376,MATCH(DATE(2026,4,30)*10+4,'Agenda 2026'!$S$2:$S$376,0)),""),"")&amp;IF(COUNTIFS('Agenda 2026'!$Q$2:$Q$376,DATE(2026,4,30),'Agenda 2026'!$M$2:$M$376,1)&gt;=5,CHAR(10)&amp;IFERROR(INDEX('Agenda 2026'!$B$2:$B$376,MATCH(DATE(2026,4,30)*10+5,'Agenda 2026'!$S$2:$S$376,0)),""),"")&amp;IF(COUNTIFS('Agenda 2026'!$Q$2:$Q$376,DATE(2026,4,30),'Agenda 2026'!$M$2:$M$376,1)&gt;=6,CHAR(10)&amp;IFERROR(INDEX('Agenda 2026'!$B$2:$B$376,MATCH(DATE(2026,4,30)*10+6,'Agenda 2026'!$S$2:$S$376,0)),""),"")&amp;IF(COUNTIFS('Agenda 2026'!$Q$2:$Q$376,DATE(2026,4,30),'Agenda 2026'!$M$2:$M$376,1)&gt;=7,CHAR(10)&amp;IFERROR(INDEX('Agenda 2026'!$B$2:$B$376,MATCH(DATE(2026,4,30)*10+7,'Agenda 2026'!$S$2:$S$376,0)),""),"")&amp;IF(COUNTIFS('Agenda 2026'!$Q$2:$Q$376,DATE(2026,4,30),'Agenda 2026'!$M$2:$M$376,1)&gt;=8,CHAR(10)&amp;IFERROR(INDEX('Agenda 2026'!$B$2:$B$376,MATCH(DATE(2026,4,30)*10+8,'Agenda 2026'!$S$2:$S$376,0)),""),"")&amp;IF(COUNTIFS('Agenda 2026'!$Q$2:$Q$376,DATE(2026,4,30),'Agenda 2026'!$M$2:$M$376,1)&gt;=9,CHAR(10)&amp;IFERROR(INDEX('Agenda 2026'!$B$2:$B$376,MATCH(DATE(2026,4,30)*10+9,'Agenda 2026'!$S$2:$S$376,0)),""),"")&amp;IF(COUNTIFS('Agenda 2026'!$Q$2:$Q$376,DATE(2026,4,30),'Agenda 2026'!$M$2:$M$376,1)&gt;=10,CHAR(10)&amp;IFERROR(INDEX('Agenda 2026'!$B$2:$B$376,MATCH(DATE(2026,4,30)*10+10,'Agenda 2026'!$S$2:$S$376,0)),""),"")&amp;IF(COUNTIFS('Agenda 2026'!$Q$2:$Q$376,DATE(2026,4,30),'Agenda 2026'!$M$2:$M$376,1)&gt;=11,CHAR(10)&amp;IFERROR(INDEX('Agenda 2026'!$B$2:$B$376,MATCH(DATE(2026,4,30)*10+11,'Agenda 2026'!$S$2:$S$376,0)),""),"")&amp;IF(COUNTIFS('Agenda 2026'!$Q$2:$Q$376,DATE(2026,4,30),'Agenda 2026'!$M$2:$M$376,1)&gt;=12,CHAR(10)&amp;IFERROR(INDEX('Agenda 2026'!$B$2:$B$376,MATCH(DATE(2026,4,30)*10+12,'Agenda 2026'!$S$2:$S$376,0)),""),"")</f>
        <v>30</v>
      </c>
      <c r="F42" s="57"/>
      <c r="G42" s="57"/>
      <c r="H42" s="57"/>
    </row>
    <row r="43" spans="1:8" ht="21.75" customHeight="1" x14ac:dyDescent="0.35">
      <c r="A43" s="17"/>
      <c r="B43" s="57"/>
      <c r="C43" s="57"/>
      <c r="D43" s="57"/>
      <c r="E43" s="57"/>
      <c r="F43" s="57"/>
      <c r="G43" s="57"/>
      <c r="H43" s="57"/>
    </row>
    <row r="44" spans="1:8" ht="15.75" customHeight="1" x14ac:dyDescent="0.35">
      <c r="A44" s="17"/>
      <c r="B44" s="17"/>
      <c r="C44" s="17"/>
      <c r="D44" s="17"/>
      <c r="E44" s="17"/>
      <c r="F44" s="17"/>
      <c r="G44" s="17"/>
      <c r="H44" s="17"/>
    </row>
    <row r="45" spans="1:8" ht="21.75" customHeight="1" x14ac:dyDescent="0.35">
      <c r="A45" s="17"/>
      <c r="B45" s="10" t="s">
        <v>68</v>
      </c>
      <c r="C45" s="10"/>
      <c r="D45" s="10"/>
      <c r="E45" s="10"/>
      <c r="F45" s="10"/>
      <c r="G45" s="10"/>
      <c r="H45" s="10"/>
    </row>
    <row r="46" spans="1:8" ht="15.75" customHeight="1" x14ac:dyDescent="0.35">
      <c r="A46" s="17"/>
      <c r="B46" s="56" t="s">
        <v>58</v>
      </c>
      <c r="C46" s="56" t="s">
        <v>59</v>
      </c>
      <c r="D46" s="56" t="s">
        <v>60</v>
      </c>
      <c r="E46" s="56" t="s">
        <v>61</v>
      </c>
      <c r="F46" s="56" t="s">
        <v>62</v>
      </c>
      <c r="G46" s="56" t="s">
        <v>63</v>
      </c>
      <c r="H46" s="56" t="s">
        <v>64</v>
      </c>
    </row>
    <row r="47" spans="1:8" ht="33.75" customHeight="1" x14ac:dyDescent="0.35">
      <c r="A47" s="17"/>
      <c r="B47" s="57"/>
      <c r="C47" s="57"/>
      <c r="D47" s="57"/>
      <c r="E47" s="57"/>
      <c r="F47" s="58" t="str">
        <f t="array" ref="F47">1&amp;IF(COUNTIFS('Agenda 2026'!$Q$2:$Q$376,DATE(2026,5,1),'Agenda 2026'!$M$2:$M$376,1)&gt;=1,CHAR(10)&amp;IFERROR(INDEX('Agenda 2026'!$B$2:$B$376,MATCH(DATE(2026,5,1)*10+1,'Agenda 2026'!$S$2:$S$376,0)),""),"")&amp;IF(COUNTIFS('Agenda 2026'!$Q$2:$Q$376,DATE(2026,5,1),'Agenda 2026'!$M$2:$M$376,1)&gt;=2,CHAR(10)&amp;IFERROR(INDEX('Agenda 2026'!$B$2:$B$376,MATCH(DATE(2026,5,1)*10+2,'Agenda 2026'!$S$2:$S$376,0)),""),"")&amp;IF(COUNTIFS('Agenda 2026'!$Q$2:$Q$376,DATE(2026,5,1),'Agenda 2026'!$M$2:$M$376,1)&gt;=3,CHAR(10)&amp;IFERROR(INDEX('Agenda 2026'!$B$2:$B$376,MATCH(DATE(2026,5,1)*10+3,'Agenda 2026'!$S$2:$S$376,0)),""),"")&amp;IF(COUNTIFS('Agenda 2026'!$Q$2:$Q$376,DATE(2026,5,1),'Agenda 2026'!$M$2:$M$376,1)&gt;=4,CHAR(10)&amp;IFERROR(INDEX('Agenda 2026'!$B$2:$B$376,MATCH(DATE(2026,5,1)*10+4,'Agenda 2026'!$S$2:$S$376,0)),""),"")&amp;IF(COUNTIFS('Agenda 2026'!$Q$2:$Q$376,DATE(2026,5,1),'Agenda 2026'!$M$2:$M$376,1)&gt;=5,CHAR(10)&amp;IFERROR(INDEX('Agenda 2026'!$B$2:$B$376,MATCH(DATE(2026,5,1)*10+5,'Agenda 2026'!$S$2:$S$376,0)),""),"")&amp;IF(COUNTIFS('Agenda 2026'!$Q$2:$Q$376,DATE(2026,5,1),'Agenda 2026'!$M$2:$M$376,1)&gt;=6,CHAR(10)&amp;IFERROR(INDEX('Agenda 2026'!$B$2:$B$376,MATCH(DATE(2026,5,1)*10+6,'Agenda 2026'!$S$2:$S$376,0)),""),"")&amp;IF(COUNTIFS('Agenda 2026'!$Q$2:$Q$376,DATE(2026,5,1),'Agenda 2026'!$M$2:$M$376,1)&gt;=7,CHAR(10)&amp;IFERROR(INDEX('Agenda 2026'!$B$2:$B$376,MATCH(DATE(2026,5,1)*10+7,'Agenda 2026'!$S$2:$S$376,0)),""),"")&amp;IF(COUNTIFS('Agenda 2026'!$Q$2:$Q$376,DATE(2026,5,1),'Agenda 2026'!$M$2:$M$376,1)&gt;=8,CHAR(10)&amp;IFERROR(INDEX('Agenda 2026'!$B$2:$B$376,MATCH(DATE(2026,5,1)*10+8,'Agenda 2026'!$S$2:$S$376,0)),""),"")&amp;IF(COUNTIFS('Agenda 2026'!$Q$2:$Q$376,DATE(2026,5,1),'Agenda 2026'!$M$2:$M$376,1)&gt;=9,CHAR(10)&amp;IFERROR(INDEX('Agenda 2026'!$B$2:$B$376,MATCH(DATE(2026,5,1)*10+9,'Agenda 2026'!$S$2:$S$376,0)),""),"")&amp;IF(COUNTIFS('Agenda 2026'!$Q$2:$Q$376,DATE(2026,5,1),'Agenda 2026'!$M$2:$M$376,1)&gt;=10,CHAR(10)&amp;IFERROR(INDEX('Agenda 2026'!$B$2:$B$376,MATCH(DATE(2026,5,1)*10+10,'Agenda 2026'!$S$2:$S$376,0)),""),"")&amp;IF(COUNTIFS('Agenda 2026'!$Q$2:$Q$376,DATE(2026,5,1),'Agenda 2026'!$M$2:$M$376,1)&gt;=11,CHAR(10)&amp;IFERROR(INDEX('Agenda 2026'!$B$2:$B$376,MATCH(DATE(2026,5,1)*10+11,'Agenda 2026'!$S$2:$S$376,0)),""),"")&amp;IF(COUNTIFS('Agenda 2026'!$Q$2:$Q$376,DATE(2026,5,1),'Agenda 2026'!$M$2:$M$376,1)&gt;=12,CHAR(10)&amp;IFERROR(INDEX('Agenda 2026'!$B$2:$B$376,MATCH(DATE(2026,5,1)*10+12,'Agenda 2026'!$S$2:$S$376,0)),""),"")</f>
        <v>1</v>
      </c>
      <c r="G47" s="58" t="str">
        <f t="array" ref="G47">2&amp;IF(COUNTIFS('Agenda 2026'!$Q$2:$Q$376,DATE(2026,5,2),'Agenda 2026'!$M$2:$M$376,1)&gt;=1,CHAR(10)&amp;IFERROR(INDEX('Agenda 2026'!$B$2:$B$376,MATCH(DATE(2026,5,2)*10+1,'Agenda 2026'!$S$2:$S$376,0)),""),"")&amp;IF(COUNTIFS('Agenda 2026'!$Q$2:$Q$376,DATE(2026,5,2),'Agenda 2026'!$M$2:$M$376,1)&gt;=2,CHAR(10)&amp;IFERROR(INDEX('Agenda 2026'!$B$2:$B$376,MATCH(DATE(2026,5,2)*10+2,'Agenda 2026'!$S$2:$S$376,0)),""),"")&amp;IF(COUNTIFS('Agenda 2026'!$Q$2:$Q$376,DATE(2026,5,2),'Agenda 2026'!$M$2:$M$376,1)&gt;=3,CHAR(10)&amp;IFERROR(INDEX('Agenda 2026'!$B$2:$B$376,MATCH(DATE(2026,5,2)*10+3,'Agenda 2026'!$S$2:$S$376,0)),""),"")&amp;IF(COUNTIFS('Agenda 2026'!$Q$2:$Q$376,DATE(2026,5,2),'Agenda 2026'!$M$2:$M$376,1)&gt;=4,CHAR(10)&amp;IFERROR(INDEX('Agenda 2026'!$B$2:$B$376,MATCH(DATE(2026,5,2)*10+4,'Agenda 2026'!$S$2:$S$376,0)),""),"")&amp;IF(COUNTIFS('Agenda 2026'!$Q$2:$Q$376,DATE(2026,5,2),'Agenda 2026'!$M$2:$M$376,1)&gt;=5,CHAR(10)&amp;IFERROR(INDEX('Agenda 2026'!$B$2:$B$376,MATCH(DATE(2026,5,2)*10+5,'Agenda 2026'!$S$2:$S$376,0)),""),"")&amp;IF(COUNTIFS('Agenda 2026'!$Q$2:$Q$376,DATE(2026,5,2),'Agenda 2026'!$M$2:$M$376,1)&gt;=6,CHAR(10)&amp;IFERROR(INDEX('Agenda 2026'!$B$2:$B$376,MATCH(DATE(2026,5,2)*10+6,'Agenda 2026'!$S$2:$S$376,0)),""),"")&amp;IF(COUNTIFS('Agenda 2026'!$Q$2:$Q$376,DATE(2026,5,2),'Agenda 2026'!$M$2:$M$376,1)&gt;=7,CHAR(10)&amp;IFERROR(INDEX('Agenda 2026'!$B$2:$B$376,MATCH(DATE(2026,5,2)*10+7,'Agenda 2026'!$S$2:$S$376,0)),""),"")&amp;IF(COUNTIFS('Agenda 2026'!$Q$2:$Q$376,DATE(2026,5,2),'Agenda 2026'!$M$2:$M$376,1)&gt;=8,CHAR(10)&amp;IFERROR(INDEX('Agenda 2026'!$B$2:$B$376,MATCH(DATE(2026,5,2)*10+8,'Agenda 2026'!$S$2:$S$376,0)),""),"")&amp;IF(COUNTIFS('Agenda 2026'!$Q$2:$Q$376,DATE(2026,5,2),'Agenda 2026'!$M$2:$M$376,1)&gt;=9,CHAR(10)&amp;IFERROR(INDEX('Agenda 2026'!$B$2:$B$376,MATCH(DATE(2026,5,2)*10+9,'Agenda 2026'!$S$2:$S$376,0)),""),"")&amp;IF(COUNTIFS('Agenda 2026'!$Q$2:$Q$376,DATE(2026,5,2),'Agenda 2026'!$M$2:$M$376,1)&gt;=10,CHAR(10)&amp;IFERROR(INDEX('Agenda 2026'!$B$2:$B$376,MATCH(DATE(2026,5,2)*10+10,'Agenda 2026'!$S$2:$S$376,0)),""),"")&amp;IF(COUNTIFS('Agenda 2026'!$Q$2:$Q$376,DATE(2026,5,2),'Agenda 2026'!$M$2:$M$376,1)&gt;=11,CHAR(10)&amp;IFERROR(INDEX('Agenda 2026'!$B$2:$B$376,MATCH(DATE(2026,5,2)*10+11,'Agenda 2026'!$S$2:$S$376,0)),""),"")&amp;IF(COUNTIFS('Agenda 2026'!$Q$2:$Q$376,DATE(2026,5,2),'Agenda 2026'!$M$2:$M$376,1)&gt;=12,CHAR(10)&amp;IFERROR(INDEX('Agenda 2026'!$B$2:$B$376,MATCH(DATE(2026,5,2)*10+12,'Agenda 2026'!$S$2:$S$376,0)),""),"")</f>
        <v>2</v>
      </c>
      <c r="H47" s="58" t="str">
        <f t="array" ref="H47">3&amp;IF(COUNTIFS('Agenda 2026'!$Q$2:$Q$376,DATE(2026,5,3),'Agenda 2026'!$M$2:$M$376,1)&gt;=1,CHAR(10)&amp;IFERROR(INDEX('Agenda 2026'!$B$2:$B$376,MATCH(DATE(2026,5,3)*10+1,'Agenda 2026'!$S$2:$S$376,0)),""),"")&amp;IF(COUNTIFS('Agenda 2026'!$Q$2:$Q$376,DATE(2026,5,3),'Agenda 2026'!$M$2:$M$376,1)&gt;=2,CHAR(10)&amp;IFERROR(INDEX('Agenda 2026'!$B$2:$B$376,MATCH(DATE(2026,5,3)*10+2,'Agenda 2026'!$S$2:$S$376,0)),""),"")&amp;IF(COUNTIFS('Agenda 2026'!$Q$2:$Q$376,DATE(2026,5,3),'Agenda 2026'!$M$2:$M$376,1)&gt;=3,CHAR(10)&amp;IFERROR(INDEX('Agenda 2026'!$B$2:$B$376,MATCH(DATE(2026,5,3)*10+3,'Agenda 2026'!$S$2:$S$376,0)),""),"")&amp;IF(COUNTIFS('Agenda 2026'!$Q$2:$Q$376,DATE(2026,5,3),'Agenda 2026'!$M$2:$M$376,1)&gt;=4,CHAR(10)&amp;IFERROR(INDEX('Agenda 2026'!$B$2:$B$376,MATCH(DATE(2026,5,3)*10+4,'Agenda 2026'!$S$2:$S$376,0)),""),"")&amp;IF(COUNTIFS('Agenda 2026'!$Q$2:$Q$376,DATE(2026,5,3),'Agenda 2026'!$M$2:$M$376,1)&gt;=5,CHAR(10)&amp;IFERROR(INDEX('Agenda 2026'!$B$2:$B$376,MATCH(DATE(2026,5,3)*10+5,'Agenda 2026'!$S$2:$S$376,0)),""),"")&amp;IF(COUNTIFS('Agenda 2026'!$Q$2:$Q$376,DATE(2026,5,3),'Agenda 2026'!$M$2:$M$376,1)&gt;=6,CHAR(10)&amp;IFERROR(INDEX('Agenda 2026'!$B$2:$B$376,MATCH(DATE(2026,5,3)*10+6,'Agenda 2026'!$S$2:$S$376,0)),""),"")&amp;IF(COUNTIFS('Agenda 2026'!$Q$2:$Q$376,DATE(2026,5,3),'Agenda 2026'!$M$2:$M$376,1)&gt;=7,CHAR(10)&amp;IFERROR(INDEX('Agenda 2026'!$B$2:$B$376,MATCH(DATE(2026,5,3)*10+7,'Agenda 2026'!$S$2:$S$376,0)),""),"")&amp;IF(COUNTIFS('Agenda 2026'!$Q$2:$Q$376,DATE(2026,5,3),'Agenda 2026'!$M$2:$M$376,1)&gt;=8,CHAR(10)&amp;IFERROR(INDEX('Agenda 2026'!$B$2:$B$376,MATCH(DATE(2026,5,3)*10+8,'Agenda 2026'!$S$2:$S$376,0)),""),"")&amp;IF(COUNTIFS('Agenda 2026'!$Q$2:$Q$376,DATE(2026,5,3),'Agenda 2026'!$M$2:$M$376,1)&gt;=9,CHAR(10)&amp;IFERROR(INDEX('Agenda 2026'!$B$2:$B$376,MATCH(DATE(2026,5,3)*10+9,'Agenda 2026'!$S$2:$S$376,0)),""),"")&amp;IF(COUNTIFS('Agenda 2026'!$Q$2:$Q$376,DATE(2026,5,3),'Agenda 2026'!$M$2:$M$376,1)&gt;=10,CHAR(10)&amp;IFERROR(INDEX('Agenda 2026'!$B$2:$B$376,MATCH(DATE(2026,5,3)*10+10,'Agenda 2026'!$S$2:$S$376,0)),""),"")&amp;IF(COUNTIFS('Agenda 2026'!$Q$2:$Q$376,DATE(2026,5,3),'Agenda 2026'!$M$2:$M$376,1)&gt;=11,CHAR(10)&amp;IFERROR(INDEX('Agenda 2026'!$B$2:$B$376,MATCH(DATE(2026,5,3)*10+11,'Agenda 2026'!$S$2:$S$376,0)),""),"")&amp;IF(COUNTIFS('Agenda 2026'!$Q$2:$Q$376,DATE(2026,5,3),'Agenda 2026'!$M$2:$M$376,1)&gt;=12,CHAR(10)&amp;IFERROR(INDEX('Agenda 2026'!$B$2:$B$376,MATCH(DATE(2026,5,3)*10+12,'Agenda 2026'!$S$2:$S$376,0)),""),"")</f>
        <v>3</v>
      </c>
    </row>
    <row r="48" spans="1:8" ht="45.75" customHeight="1" x14ac:dyDescent="0.35">
      <c r="A48" s="17"/>
      <c r="B48" s="58" t="str">
        <f t="array" ref="B48">4&amp;IF(COUNTIFS('Agenda 2026'!$Q$2:$Q$376,DATE(2026,5,4),'Agenda 2026'!$M$2:$M$376,1)&gt;=1,CHAR(10)&amp;IFERROR(INDEX('Agenda 2026'!$B$2:$B$376,MATCH(DATE(2026,5,4)*10+1,'Agenda 2026'!$S$2:$S$376,0)),""),"")&amp;IF(COUNTIFS('Agenda 2026'!$Q$2:$Q$376,DATE(2026,5,4),'Agenda 2026'!$M$2:$M$376,1)&gt;=2,CHAR(10)&amp;IFERROR(INDEX('Agenda 2026'!$B$2:$B$376,MATCH(DATE(2026,5,4)*10+2,'Agenda 2026'!$S$2:$S$376,0)),""),"")&amp;IF(COUNTIFS('Agenda 2026'!$Q$2:$Q$376,DATE(2026,5,4),'Agenda 2026'!$M$2:$M$376,1)&gt;=3,CHAR(10)&amp;IFERROR(INDEX('Agenda 2026'!$B$2:$B$376,MATCH(DATE(2026,5,4)*10+3,'Agenda 2026'!$S$2:$S$376,0)),""),"")&amp;IF(COUNTIFS('Agenda 2026'!$Q$2:$Q$376,DATE(2026,5,4),'Agenda 2026'!$M$2:$M$376,1)&gt;=4,CHAR(10)&amp;IFERROR(INDEX('Agenda 2026'!$B$2:$B$376,MATCH(DATE(2026,5,4)*10+4,'Agenda 2026'!$S$2:$S$376,0)),""),"")&amp;IF(COUNTIFS('Agenda 2026'!$Q$2:$Q$376,DATE(2026,5,4),'Agenda 2026'!$M$2:$M$376,1)&gt;=5,CHAR(10)&amp;IFERROR(INDEX('Agenda 2026'!$B$2:$B$376,MATCH(DATE(2026,5,4)*10+5,'Agenda 2026'!$S$2:$S$376,0)),""),"")&amp;IF(COUNTIFS('Agenda 2026'!$Q$2:$Q$376,DATE(2026,5,4),'Agenda 2026'!$M$2:$M$376,1)&gt;=6,CHAR(10)&amp;IFERROR(INDEX('Agenda 2026'!$B$2:$B$376,MATCH(DATE(2026,5,4)*10+6,'Agenda 2026'!$S$2:$S$376,0)),""),"")&amp;IF(COUNTIFS('Agenda 2026'!$Q$2:$Q$376,DATE(2026,5,4),'Agenda 2026'!$M$2:$M$376,1)&gt;=7,CHAR(10)&amp;IFERROR(INDEX('Agenda 2026'!$B$2:$B$376,MATCH(DATE(2026,5,4)*10+7,'Agenda 2026'!$S$2:$S$376,0)),""),"")&amp;IF(COUNTIFS('Agenda 2026'!$Q$2:$Q$376,DATE(2026,5,4),'Agenda 2026'!$M$2:$M$376,1)&gt;=8,CHAR(10)&amp;IFERROR(INDEX('Agenda 2026'!$B$2:$B$376,MATCH(DATE(2026,5,4)*10+8,'Agenda 2026'!$S$2:$S$376,0)),""),"")&amp;IF(COUNTIFS('Agenda 2026'!$Q$2:$Q$376,DATE(2026,5,4),'Agenda 2026'!$M$2:$M$376,1)&gt;=9,CHAR(10)&amp;IFERROR(INDEX('Agenda 2026'!$B$2:$B$376,MATCH(DATE(2026,5,4)*10+9,'Agenda 2026'!$S$2:$S$376,0)),""),"")&amp;IF(COUNTIFS('Agenda 2026'!$Q$2:$Q$376,DATE(2026,5,4),'Agenda 2026'!$M$2:$M$376,1)&gt;=10,CHAR(10)&amp;IFERROR(INDEX('Agenda 2026'!$B$2:$B$376,MATCH(DATE(2026,5,4)*10+10,'Agenda 2026'!$S$2:$S$376,0)),""),"")&amp;IF(COUNTIFS('Agenda 2026'!$Q$2:$Q$376,DATE(2026,5,4),'Agenda 2026'!$M$2:$M$376,1)&gt;=11,CHAR(10)&amp;IFERROR(INDEX('Agenda 2026'!$B$2:$B$376,MATCH(DATE(2026,5,4)*10+11,'Agenda 2026'!$S$2:$S$376,0)),""),"")&amp;IF(COUNTIFS('Agenda 2026'!$Q$2:$Q$376,DATE(2026,5,4),'Agenda 2026'!$M$2:$M$376,1)&gt;=12,CHAR(10)&amp;IFERROR(INDEX('Agenda 2026'!$B$2:$B$376,MATCH(DATE(2026,5,4)*10+12,'Agenda 2026'!$S$2:$S$376,0)),""),"")</f>
        <v>4</v>
      </c>
      <c r="C48" s="58" t="str">
        <f t="array" ref="C48">5&amp;IF(COUNTIFS('Agenda 2026'!$Q$2:$Q$376,DATE(2026,5,5),'Agenda 2026'!$M$2:$M$376,1)&gt;=1,CHAR(10)&amp;IFERROR(INDEX('Agenda 2026'!$B$2:$B$376,MATCH(DATE(2026,5,5)*10+1,'Agenda 2026'!$S$2:$S$376,0)),""),"")&amp;IF(COUNTIFS('Agenda 2026'!$Q$2:$Q$376,DATE(2026,5,5),'Agenda 2026'!$M$2:$M$376,1)&gt;=2,CHAR(10)&amp;IFERROR(INDEX('Agenda 2026'!$B$2:$B$376,MATCH(DATE(2026,5,5)*10+2,'Agenda 2026'!$S$2:$S$376,0)),""),"")&amp;IF(COUNTIFS('Agenda 2026'!$Q$2:$Q$376,DATE(2026,5,5),'Agenda 2026'!$M$2:$M$376,1)&gt;=3,CHAR(10)&amp;IFERROR(INDEX('Agenda 2026'!$B$2:$B$376,MATCH(DATE(2026,5,5)*10+3,'Agenda 2026'!$S$2:$S$376,0)),""),"")&amp;IF(COUNTIFS('Agenda 2026'!$Q$2:$Q$376,DATE(2026,5,5),'Agenda 2026'!$M$2:$M$376,1)&gt;=4,CHAR(10)&amp;IFERROR(INDEX('Agenda 2026'!$B$2:$B$376,MATCH(DATE(2026,5,5)*10+4,'Agenda 2026'!$S$2:$S$376,0)),""),"")&amp;IF(COUNTIFS('Agenda 2026'!$Q$2:$Q$376,DATE(2026,5,5),'Agenda 2026'!$M$2:$M$376,1)&gt;=5,CHAR(10)&amp;IFERROR(INDEX('Agenda 2026'!$B$2:$B$376,MATCH(DATE(2026,5,5)*10+5,'Agenda 2026'!$S$2:$S$376,0)),""),"")&amp;IF(COUNTIFS('Agenda 2026'!$Q$2:$Q$376,DATE(2026,5,5),'Agenda 2026'!$M$2:$M$376,1)&gt;=6,CHAR(10)&amp;IFERROR(INDEX('Agenda 2026'!$B$2:$B$376,MATCH(DATE(2026,5,5)*10+6,'Agenda 2026'!$S$2:$S$376,0)),""),"")&amp;IF(COUNTIFS('Agenda 2026'!$Q$2:$Q$376,DATE(2026,5,5),'Agenda 2026'!$M$2:$M$376,1)&gt;=7,CHAR(10)&amp;IFERROR(INDEX('Agenda 2026'!$B$2:$B$376,MATCH(DATE(2026,5,5)*10+7,'Agenda 2026'!$S$2:$S$376,0)),""),"")&amp;IF(COUNTIFS('Agenda 2026'!$Q$2:$Q$376,DATE(2026,5,5),'Agenda 2026'!$M$2:$M$376,1)&gt;=8,CHAR(10)&amp;IFERROR(INDEX('Agenda 2026'!$B$2:$B$376,MATCH(DATE(2026,5,5)*10+8,'Agenda 2026'!$S$2:$S$376,0)),""),"")&amp;IF(COUNTIFS('Agenda 2026'!$Q$2:$Q$376,DATE(2026,5,5),'Agenda 2026'!$M$2:$M$376,1)&gt;=9,CHAR(10)&amp;IFERROR(INDEX('Agenda 2026'!$B$2:$B$376,MATCH(DATE(2026,5,5)*10+9,'Agenda 2026'!$S$2:$S$376,0)),""),"")&amp;IF(COUNTIFS('Agenda 2026'!$Q$2:$Q$376,DATE(2026,5,5),'Agenda 2026'!$M$2:$M$376,1)&gt;=10,CHAR(10)&amp;IFERROR(INDEX('Agenda 2026'!$B$2:$B$376,MATCH(DATE(2026,5,5)*10+10,'Agenda 2026'!$S$2:$S$376,0)),""),"")&amp;IF(COUNTIFS('Agenda 2026'!$Q$2:$Q$376,DATE(2026,5,5),'Agenda 2026'!$M$2:$M$376,1)&gt;=11,CHAR(10)&amp;IFERROR(INDEX('Agenda 2026'!$B$2:$B$376,MATCH(DATE(2026,5,5)*10+11,'Agenda 2026'!$S$2:$S$376,0)),""),"")&amp;IF(COUNTIFS('Agenda 2026'!$Q$2:$Q$376,DATE(2026,5,5),'Agenda 2026'!$M$2:$M$376,1)&gt;=12,CHAR(10)&amp;IFERROR(INDEX('Agenda 2026'!$B$2:$B$376,MATCH(DATE(2026,5,5)*10+12,'Agenda 2026'!$S$2:$S$376,0)),""),"")</f>
        <v>5</v>
      </c>
      <c r="D48" s="58" t="str">
        <f t="array" ref="D48">6&amp;IF(COUNTIFS('Agenda 2026'!$Q$2:$Q$376,DATE(2026,5,6),'Agenda 2026'!$M$2:$M$376,1)&gt;=1,CHAR(10)&amp;IFERROR(INDEX('Agenda 2026'!$B$2:$B$376,MATCH(DATE(2026,5,6)*10+1,'Agenda 2026'!$S$2:$S$376,0)),""),"")&amp;IF(COUNTIFS('Agenda 2026'!$Q$2:$Q$376,DATE(2026,5,6),'Agenda 2026'!$M$2:$M$376,1)&gt;=2,CHAR(10)&amp;IFERROR(INDEX('Agenda 2026'!$B$2:$B$376,MATCH(DATE(2026,5,6)*10+2,'Agenda 2026'!$S$2:$S$376,0)),""),"")&amp;IF(COUNTIFS('Agenda 2026'!$Q$2:$Q$376,DATE(2026,5,6),'Agenda 2026'!$M$2:$M$376,1)&gt;=3,CHAR(10)&amp;IFERROR(INDEX('Agenda 2026'!$B$2:$B$376,MATCH(DATE(2026,5,6)*10+3,'Agenda 2026'!$S$2:$S$376,0)),""),"")&amp;IF(COUNTIFS('Agenda 2026'!$Q$2:$Q$376,DATE(2026,5,6),'Agenda 2026'!$M$2:$M$376,1)&gt;=4,CHAR(10)&amp;IFERROR(INDEX('Agenda 2026'!$B$2:$B$376,MATCH(DATE(2026,5,6)*10+4,'Agenda 2026'!$S$2:$S$376,0)),""),"")&amp;IF(COUNTIFS('Agenda 2026'!$Q$2:$Q$376,DATE(2026,5,6),'Agenda 2026'!$M$2:$M$376,1)&gt;=5,CHAR(10)&amp;IFERROR(INDEX('Agenda 2026'!$B$2:$B$376,MATCH(DATE(2026,5,6)*10+5,'Agenda 2026'!$S$2:$S$376,0)),""),"")&amp;IF(COUNTIFS('Agenda 2026'!$Q$2:$Q$376,DATE(2026,5,6),'Agenda 2026'!$M$2:$M$376,1)&gt;=6,CHAR(10)&amp;IFERROR(INDEX('Agenda 2026'!$B$2:$B$376,MATCH(DATE(2026,5,6)*10+6,'Agenda 2026'!$S$2:$S$376,0)),""),"")&amp;IF(COUNTIFS('Agenda 2026'!$Q$2:$Q$376,DATE(2026,5,6),'Agenda 2026'!$M$2:$M$376,1)&gt;=7,CHAR(10)&amp;IFERROR(INDEX('Agenda 2026'!$B$2:$B$376,MATCH(DATE(2026,5,6)*10+7,'Agenda 2026'!$S$2:$S$376,0)),""),"")&amp;IF(COUNTIFS('Agenda 2026'!$Q$2:$Q$376,DATE(2026,5,6),'Agenda 2026'!$M$2:$M$376,1)&gt;=8,CHAR(10)&amp;IFERROR(INDEX('Agenda 2026'!$B$2:$B$376,MATCH(DATE(2026,5,6)*10+8,'Agenda 2026'!$S$2:$S$376,0)),""),"")&amp;IF(COUNTIFS('Agenda 2026'!$Q$2:$Q$376,DATE(2026,5,6),'Agenda 2026'!$M$2:$M$376,1)&gt;=9,CHAR(10)&amp;IFERROR(INDEX('Agenda 2026'!$B$2:$B$376,MATCH(DATE(2026,5,6)*10+9,'Agenda 2026'!$S$2:$S$376,0)),""),"")&amp;IF(COUNTIFS('Agenda 2026'!$Q$2:$Q$376,DATE(2026,5,6),'Agenda 2026'!$M$2:$M$376,1)&gt;=10,CHAR(10)&amp;IFERROR(INDEX('Agenda 2026'!$B$2:$B$376,MATCH(DATE(2026,5,6)*10+10,'Agenda 2026'!$S$2:$S$376,0)),""),"")&amp;IF(COUNTIFS('Agenda 2026'!$Q$2:$Q$376,DATE(2026,5,6),'Agenda 2026'!$M$2:$M$376,1)&gt;=11,CHAR(10)&amp;IFERROR(INDEX('Agenda 2026'!$B$2:$B$376,MATCH(DATE(2026,5,6)*10+11,'Agenda 2026'!$S$2:$S$376,0)),""),"")&amp;IF(COUNTIFS('Agenda 2026'!$Q$2:$Q$376,DATE(2026,5,6),'Agenda 2026'!$M$2:$M$376,1)&gt;=12,CHAR(10)&amp;IFERROR(INDEX('Agenda 2026'!$B$2:$B$376,MATCH(DATE(2026,5,6)*10+12,'Agenda 2026'!$S$2:$S$376,0)),""),"")</f>
        <v>6</v>
      </c>
      <c r="E48" s="58" t="str">
        <f t="array" ref="E48">7&amp;IF(COUNTIFS('Agenda 2026'!$Q$2:$Q$376,DATE(2026,5,7),'Agenda 2026'!$M$2:$M$376,1)&gt;=1,CHAR(10)&amp;IFERROR(INDEX('Agenda 2026'!$B$2:$B$376,MATCH(DATE(2026,5,7)*10+1,'Agenda 2026'!$S$2:$S$376,0)),""),"")&amp;IF(COUNTIFS('Agenda 2026'!$Q$2:$Q$376,DATE(2026,5,7),'Agenda 2026'!$M$2:$M$376,1)&gt;=2,CHAR(10)&amp;IFERROR(INDEX('Agenda 2026'!$B$2:$B$376,MATCH(DATE(2026,5,7)*10+2,'Agenda 2026'!$S$2:$S$376,0)),""),"")&amp;IF(COUNTIFS('Agenda 2026'!$Q$2:$Q$376,DATE(2026,5,7),'Agenda 2026'!$M$2:$M$376,1)&gt;=3,CHAR(10)&amp;IFERROR(INDEX('Agenda 2026'!$B$2:$B$376,MATCH(DATE(2026,5,7)*10+3,'Agenda 2026'!$S$2:$S$376,0)),""),"")&amp;IF(COUNTIFS('Agenda 2026'!$Q$2:$Q$376,DATE(2026,5,7),'Agenda 2026'!$M$2:$M$376,1)&gt;=4,CHAR(10)&amp;IFERROR(INDEX('Agenda 2026'!$B$2:$B$376,MATCH(DATE(2026,5,7)*10+4,'Agenda 2026'!$S$2:$S$376,0)),""),"")&amp;IF(COUNTIFS('Agenda 2026'!$Q$2:$Q$376,DATE(2026,5,7),'Agenda 2026'!$M$2:$M$376,1)&gt;=5,CHAR(10)&amp;IFERROR(INDEX('Agenda 2026'!$B$2:$B$376,MATCH(DATE(2026,5,7)*10+5,'Agenda 2026'!$S$2:$S$376,0)),""),"")&amp;IF(COUNTIFS('Agenda 2026'!$Q$2:$Q$376,DATE(2026,5,7),'Agenda 2026'!$M$2:$M$376,1)&gt;=6,CHAR(10)&amp;IFERROR(INDEX('Agenda 2026'!$B$2:$B$376,MATCH(DATE(2026,5,7)*10+6,'Agenda 2026'!$S$2:$S$376,0)),""),"")&amp;IF(COUNTIFS('Agenda 2026'!$Q$2:$Q$376,DATE(2026,5,7),'Agenda 2026'!$M$2:$M$376,1)&gt;=7,CHAR(10)&amp;IFERROR(INDEX('Agenda 2026'!$B$2:$B$376,MATCH(DATE(2026,5,7)*10+7,'Agenda 2026'!$S$2:$S$376,0)),""),"")&amp;IF(COUNTIFS('Agenda 2026'!$Q$2:$Q$376,DATE(2026,5,7),'Agenda 2026'!$M$2:$M$376,1)&gt;=8,CHAR(10)&amp;IFERROR(INDEX('Agenda 2026'!$B$2:$B$376,MATCH(DATE(2026,5,7)*10+8,'Agenda 2026'!$S$2:$S$376,0)),""),"")&amp;IF(COUNTIFS('Agenda 2026'!$Q$2:$Q$376,DATE(2026,5,7),'Agenda 2026'!$M$2:$M$376,1)&gt;=9,CHAR(10)&amp;IFERROR(INDEX('Agenda 2026'!$B$2:$B$376,MATCH(DATE(2026,5,7)*10+9,'Agenda 2026'!$S$2:$S$376,0)),""),"")&amp;IF(COUNTIFS('Agenda 2026'!$Q$2:$Q$376,DATE(2026,5,7),'Agenda 2026'!$M$2:$M$376,1)&gt;=10,CHAR(10)&amp;IFERROR(INDEX('Agenda 2026'!$B$2:$B$376,MATCH(DATE(2026,5,7)*10+10,'Agenda 2026'!$S$2:$S$376,0)),""),"")&amp;IF(COUNTIFS('Agenda 2026'!$Q$2:$Q$376,DATE(2026,5,7),'Agenda 2026'!$M$2:$M$376,1)&gt;=11,CHAR(10)&amp;IFERROR(INDEX('Agenda 2026'!$B$2:$B$376,MATCH(DATE(2026,5,7)*10+11,'Agenda 2026'!$S$2:$S$376,0)),""),"")&amp;IF(COUNTIFS('Agenda 2026'!$Q$2:$Q$376,DATE(2026,5,7),'Agenda 2026'!$M$2:$M$376,1)&gt;=12,CHAR(10)&amp;IFERROR(INDEX('Agenda 2026'!$B$2:$B$376,MATCH(DATE(2026,5,7)*10+12,'Agenda 2026'!$S$2:$S$376,0)),""),"")</f>
        <v>7</v>
      </c>
      <c r="F48" s="58" t="str">
        <f t="array" ref="F48">8&amp;IF(COUNTIFS('Agenda 2026'!$Q$2:$Q$376,DATE(2026,5,8),'Agenda 2026'!$M$2:$M$376,1)&gt;=1,CHAR(10)&amp;IFERROR(INDEX('Agenda 2026'!$B$2:$B$376,MATCH(DATE(2026,5,8)*10+1,'Agenda 2026'!$S$2:$S$376,0)),""),"")&amp;IF(COUNTIFS('Agenda 2026'!$Q$2:$Q$376,DATE(2026,5,8),'Agenda 2026'!$M$2:$M$376,1)&gt;=2,CHAR(10)&amp;IFERROR(INDEX('Agenda 2026'!$B$2:$B$376,MATCH(DATE(2026,5,8)*10+2,'Agenda 2026'!$S$2:$S$376,0)),""),"")&amp;IF(COUNTIFS('Agenda 2026'!$Q$2:$Q$376,DATE(2026,5,8),'Agenda 2026'!$M$2:$M$376,1)&gt;=3,CHAR(10)&amp;IFERROR(INDEX('Agenda 2026'!$B$2:$B$376,MATCH(DATE(2026,5,8)*10+3,'Agenda 2026'!$S$2:$S$376,0)),""),"")&amp;IF(COUNTIFS('Agenda 2026'!$Q$2:$Q$376,DATE(2026,5,8),'Agenda 2026'!$M$2:$M$376,1)&gt;=4,CHAR(10)&amp;IFERROR(INDEX('Agenda 2026'!$B$2:$B$376,MATCH(DATE(2026,5,8)*10+4,'Agenda 2026'!$S$2:$S$376,0)),""),"")&amp;IF(COUNTIFS('Agenda 2026'!$Q$2:$Q$376,DATE(2026,5,8),'Agenda 2026'!$M$2:$M$376,1)&gt;=5,CHAR(10)&amp;IFERROR(INDEX('Agenda 2026'!$B$2:$B$376,MATCH(DATE(2026,5,8)*10+5,'Agenda 2026'!$S$2:$S$376,0)),""),"")&amp;IF(COUNTIFS('Agenda 2026'!$Q$2:$Q$376,DATE(2026,5,8),'Agenda 2026'!$M$2:$M$376,1)&gt;=6,CHAR(10)&amp;IFERROR(INDEX('Agenda 2026'!$B$2:$B$376,MATCH(DATE(2026,5,8)*10+6,'Agenda 2026'!$S$2:$S$376,0)),""),"")&amp;IF(COUNTIFS('Agenda 2026'!$Q$2:$Q$376,DATE(2026,5,8),'Agenda 2026'!$M$2:$M$376,1)&gt;=7,CHAR(10)&amp;IFERROR(INDEX('Agenda 2026'!$B$2:$B$376,MATCH(DATE(2026,5,8)*10+7,'Agenda 2026'!$S$2:$S$376,0)),""),"")&amp;IF(COUNTIFS('Agenda 2026'!$Q$2:$Q$376,DATE(2026,5,8),'Agenda 2026'!$M$2:$M$376,1)&gt;=8,CHAR(10)&amp;IFERROR(INDEX('Agenda 2026'!$B$2:$B$376,MATCH(DATE(2026,5,8)*10+8,'Agenda 2026'!$S$2:$S$376,0)),""),"")&amp;IF(COUNTIFS('Agenda 2026'!$Q$2:$Q$376,DATE(2026,5,8),'Agenda 2026'!$M$2:$M$376,1)&gt;=9,CHAR(10)&amp;IFERROR(INDEX('Agenda 2026'!$B$2:$B$376,MATCH(DATE(2026,5,8)*10+9,'Agenda 2026'!$S$2:$S$376,0)),""),"")&amp;IF(COUNTIFS('Agenda 2026'!$Q$2:$Q$376,DATE(2026,5,8),'Agenda 2026'!$M$2:$M$376,1)&gt;=10,CHAR(10)&amp;IFERROR(INDEX('Agenda 2026'!$B$2:$B$376,MATCH(DATE(2026,5,8)*10+10,'Agenda 2026'!$S$2:$S$376,0)),""),"")&amp;IF(COUNTIFS('Agenda 2026'!$Q$2:$Q$376,DATE(2026,5,8),'Agenda 2026'!$M$2:$M$376,1)&gt;=11,CHAR(10)&amp;IFERROR(INDEX('Agenda 2026'!$B$2:$B$376,MATCH(DATE(2026,5,8)*10+11,'Agenda 2026'!$S$2:$S$376,0)),""),"")&amp;IF(COUNTIFS('Agenda 2026'!$Q$2:$Q$376,DATE(2026,5,8),'Agenda 2026'!$M$2:$M$376,1)&gt;=12,CHAR(10)&amp;IFERROR(INDEX('Agenda 2026'!$B$2:$B$376,MATCH(DATE(2026,5,8)*10+12,'Agenda 2026'!$S$2:$S$376,0)),""),"")</f>
        <v>8</v>
      </c>
      <c r="G48" s="58" t="str">
        <f t="array" ref="G48">9&amp;IF(COUNTIFS('Agenda 2026'!$Q$2:$Q$376,DATE(2026,5,9),'Agenda 2026'!$M$2:$M$376,1)&gt;=1,CHAR(10)&amp;IFERROR(INDEX('Agenda 2026'!$B$2:$B$376,MATCH(DATE(2026,5,9)*10+1,'Agenda 2026'!$S$2:$S$376,0)),""),"")&amp;IF(COUNTIFS('Agenda 2026'!$Q$2:$Q$376,DATE(2026,5,9),'Agenda 2026'!$M$2:$M$376,1)&gt;=2,CHAR(10)&amp;IFERROR(INDEX('Agenda 2026'!$B$2:$B$376,MATCH(DATE(2026,5,9)*10+2,'Agenda 2026'!$S$2:$S$376,0)),""),"")&amp;IF(COUNTIFS('Agenda 2026'!$Q$2:$Q$376,DATE(2026,5,9),'Agenda 2026'!$M$2:$M$376,1)&gt;=3,CHAR(10)&amp;IFERROR(INDEX('Agenda 2026'!$B$2:$B$376,MATCH(DATE(2026,5,9)*10+3,'Agenda 2026'!$S$2:$S$376,0)),""),"")&amp;IF(COUNTIFS('Agenda 2026'!$Q$2:$Q$376,DATE(2026,5,9),'Agenda 2026'!$M$2:$M$376,1)&gt;=4,CHAR(10)&amp;IFERROR(INDEX('Agenda 2026'!$B$2:$B$376,MATCH(DATE(2026,5,9)*10+4,'Agenda 2026'!$S$2:$S$376,0)),""),"")&amp;IF(COUNTIFS('Agenda 2026'!$Q$2:$Q$376,DATE(2026,5,9),'Agenda 2026'!$M$2:$M$376,1)&gt;=5,CHAR(10)&amp;IFERROR(INDEX('Agenda 2026'!$B$2:$B$376,MATCH(DATE(2026,5,9)*10+5,'Agenda 2026'!$S$2:$S$376,0)),""),"")&amp;IF(COUNTIFS('Agenda 2026'!$Q$2:$Q$376,DATE(2026,5,9),'Agenda 2026'!$M$2:$M$376,1)&gt;=6,CHAR(10)&amp;IFERROR(INDEX('Agenda 2026'!$B$2:$B$376,MATCH(DATE(2026,5,9)*10+6,'Agenda 2026'!$S$2:$S$376,0)),""),"")&amp;IF(COUNTIFS('Agenda 2026'!$Q$2:$Q$376,DATE(2026,5,9),'Agenda 2026'!$M$2:$M$376,1)&gt;=7,CHAR(10)&amp;IFERROR(INDEX('Agenda 2026'!$B$2:$B$376,MATCH(DATE(2026,5,9)*10+7,'Agenda 2026'!$S$2:$S$376,0)),""),"")&amp;IF(COUNTIFS('Agenda 2026'!$Q$2:$Q$376,DATE(2026,5,9),'Agenda 2026'!$M$2:$M$376,1)&gt;=8,CHAR(10)&amp;IFERROR(INDEX('Agenda 2026'!$B$2:$B$376,MATCH(DATE(2026,5,9)*10+8,'Agenda 2026'!$S$2:$S$376,0)),""),"")&amp;IF(COUNTIFS('Agenda 2026'!$Q$2:$Q$376,DATE(2026,5,9),'Agenda 2026'!$M$2:$M$376,1)&gt;=9,CHAR(10)&amp;IFERROR(INDEX('Agenda 2026'!$B$2:$B$376,MATCH(DATE(2026,5,9)*10+9,'Agenda 2026'!$S$2:$S$376,0)),""),"")&amp;IF(COUNTIFS('Agenda 2026'!$Q$2:$Q$376,DATE(2026,5,9),'Agenda 2026'!$M$2:$M$376,1)&gt;=10,CHAR(10)&amp;IFERROR(INDEX('Agenda 2026'!$B$2:$B$376,MATCH(DATE(2026,5,9)*10+10,'Agenda 2026'!$S$2:$S$376,0)),""),"")&amp;IF(COUNTIFS('Agenda 2026'!$Q$2:$Q$376,DATE(2026,5,9),'Agenda 2026'!$M$2:$M$376,1)&gt;=11,CHAR(10)&amp;IFERROR(INDEX('Agenda 2026'!$B$2:$B$376,MATCH(DATE(2026,5,9)*10+11,'Agenda 2026'!$S$2:$S$376,0)),""),"")&amp;IF(COUNTIFS('Agenda 2026'!$Q$2:$Q$376,DATE(2026,5,9),'Agenda 2026'!$M$2:$M$376,1)&gt;=12,CHAR(10)&amp;IFERROR(INDEX('Agenda 2026'!$B$2:$B$376,MATCH(DATE(2026,5,9)*10+12,'Agenda 2026'!$S$2:$S$376,0)),""),"")</f>
        <v>9</v>
      </c>
      <c r="H48" s="58" t="str">
        <f t="array" ref="H48">10&amp;IF(COUNTIFS('Agenda 2026'!$Q$2:$Q$376,DATE(2026,5,10),'Agenda 2026'!$M$2:$M$376,1)&gt;=1,CHAR(10)&amp;IFERROR(INDEX('Agenda 2026'!$B$2:$B$376,MATCH(DATE(2026,5,10)*10+1,'Agenda 2026'!$S$2:$S$376,0)),""),"")&amp;IF(COUNTIFS('Agenda 2026'!$Q$2:$Q$376,DATE(2026,5,10),'Agenda 2026'!$M$2:$M$376,1)&gt;=2,CHAR(10)&amp;IFERROR(INDEX('Agenda 2026'!$B$2:$B$376,MATCH(DATE(2026,5,10)*10+2,'Agenda 2026'!$S$2:$S$376,0)),""),"")&amp;IF(COUNTIFS('Agenda 2026'!$Q$2:$Q$376,DATE(2026,5,10),'Agenda 2026'!$M$2:$M$376,1)&gt;=3,CHAR(10)&amp;IFERROR(INDEX('Agenda 2026'!$B$2:$B$376,MATCH(DATE(2026,5,10)*10+3,'Agenda 2026'!$S$2:$S$376,0)),""),"")&amp;IF(COUNTIFS('Agenda 2026'!$Q$2:$Q$376,DATE(2026,5,10),'Agenda 2026'!$M$2:$M$376,1)&gt;=4,CHAR(10)&amp;IFERROR(INDEX('Agenda 2026'!$B$2:$B$376,MATCH(DATE(2026,5,10)*10+4,'Agenda 2026'!$S$2:$S$376,0)),""),"")&amp;IF(COUNTIFS('Agenda 2026'!$Q$2:$Q$376,DATE(2026,5,10),'Agenda 2026'!$M$2:$M$376,1)&gt;=5,CHAR(10)&amp;IFERROR(INDEX('Agenda 2026'!$B$2:$B$376,MATCH(DATE(2026,5,10)*10+5,'Agenda 2026'!$S$2:$S$376,0)),""),"")&amp;IF(COUNTIFS('Agenda 2026'!$Q$2:$Q$376,DATE(2026,5,10),'Agenda 2026'!$M$2:$M$376,1)&gt;=6,CHAR(10)&amp;IFERROR(INDEX('Agenda 2026'!$B$2:$B$376,MATCH(DATE(2026,5,10)*10+6,'Agenda 2026'!$S$2:$S$376,0)),""),"")&amp;IF(COUNTIFS('Agenda 2026'!$Q$2:$Q$376,DATE(2026,5,10),'Agenda 2026'!$M$2:$M$376,1)&gt;=7,CHAR(10)&amp;IFERROR(INDEX('Agenda 2026'!$B$2:$B$376,MATCH(DATE(2026,5,10)*10+7,'Agenda 2026'!$S$2:$S$376,0)),""),"")&amp;IF(COUNTIFS('Agenda 2026'!$Q$2:$Q$376,DATE(2026,5,10),'Agenda 2026'!$M$2:$M$376,1)&gt;=8,CHAR(10)&amp;IFERROR(INDEX('Agenda 2026'!$B$2:$B$376,MATCH(DATE(2026,5,10)*10+8,'Agenda 2026'!$S$2:$S$376,0)),""),"")&amp;IF(COUNTIFS('Agenda 2026'!$Q$2:$Q$376,DATE(2026,5,10),'Agenda 2026'!$M$2:$M$376,1)&gt;=9,CHAR(10)&amp;IFERROR(INDEX('Agenda 2026'!$B$2:$B$376,MATCH(DATE(2026,5,10)*10+9,'Agenda 2026'!$S$2:$S$376,0)),""),"")&amp;IF(COUNTIFS('Agenda 2026'!$Q$2:$Q$376,DATE(2026,5,10),'Agenda 2026'!$M$2:$M$376,1)&gt;=10,CHAR(10)&amp;IFERROR(INDEX('Agenda 2026'!$B$2:$B$376,MATCH(DATE(2026,5,10)*10+10,'Agenda 2026'!$S$2:$S$376,0)),""),"")&amp;IF(COUNTIFS('Agenda 2026'!$Q$2:$Q$376,DATE(2026,5,10),'Agenda 2026'!$M$2:$M$376,1)&gt;=11,CHAR(10)&amp;IFERROR(INDEX('Agenda 2026'!$B$2:$B$376,MATCH(DATE(2026,5,10)*10+11,'Agenda 2026'!$S$2:$S$376,0)),""),"")&amp;IF(COUNTIFS('Agenda 2026'!$Q$2:$Q$376,DATE(2026,5,10),'Agenda 2026'!$M$2:$M$376,1)&gt;=12,CHAR(10)&amp;IFERROR(INDEX('Agenda 2026'!$B$2:$B$376,MATCH(DATE(2026,5,10)*10+12,'Agenda 2026'!$S$2:$S$376,0)),""),"")</f>
        <v>10</v>
      </c>
    </row>
    <row r="49" spans="1:8" ht="57.75" customHeight="1" x14ac:dyDescent="0.35">
      <c r="A49" s="17"/>
      <c r="B49" s="58" t="str">
        <f t="array" ref="B49">11&amp;IF(COUNTIFS('Agenda 2026'!$Q$2:$Q$376,DATE(2026,5,11),'Agenda 2026'!$M$2:$M$376,1)&gt;=1,CHAR(10)&amp;IFERROR(INDEX('Agenda 2026'!$B$2:$B$376,MATCH(DATE(2026,5,11)*10+1,'Agenda 2026'!$S$2:$S$376,0)),""),"")&amp;IF(COUNTIFS('Agenda 2026'!$Q$2:$Q$376,DATE(2026,5,11),'Agenda 2026'!$M$2:$M$376,1)&gt;=2,CHAR(10)&amp;IFERROR(INDEX('Agenda 2026'!$B$2:$B$376,MATCH(DATE(2026,5,11)*10+2,'Agenda 2026'!$S$2:$S$376,0)),""),"")&amp;IF(COUNTIFS('Agenda 2026'!$Q$2:$Q$376,DATE(2026,5,11),'Agenda 2026'!$M$2:$M$376,1)&gt;=3,CHAR(10)&amp;IFERROR(INDEX('Agenda 2026'!$B$2:$B$376,MATCH(DATE(2026,5,11)*10+3,'Agenda 2026'!$S$2:$S$376,0)),""),"")&amp;IF(COUNTIFS('Agenda 2026'!$Q$2:$Q$376,DATE(2026,5,11),'Agenda 2026'!$M$2:$M$376,1)&gt;=4,CHAR(10)&amp;IFERROR(INDEX('Agenda 2026'!$B$2:$B$376,MATCH(DATE(2026,5,11)*10+4,'Agenda 2026'!$S$2:$S$376,0)),""),"")&amp;IF(COUNTIFS('Agenda 2026'!$Q$2:$Q$376,DATE(2026,5,11),'Agenda 2026'!$M$2:$M$376,1)&gt;=5,CHAR(10)&amp;IFERROR(INDEX('Agenda 2026'!$B$2:$B$376,MATCH(DATE(2026,5,11)*10+5,'Agenda 2026'!$S$2:$S$376,0)),""),"")&amp;IF(COUNTIFS('Agenda 2026'!$Q$2:$Q$376,DATE(2026,5,11),'Agenda 2026'!$M$2:$M$376,1)&gt;=6,CHAR(10)&amp;IFERROR(INDEX('Agenda 2026'!$B$2:$B$376,MATCH(DATE(2026,5,11)*10+6,'Agenda 2026'!$S$2:$S$376,0)),""),"")&amp;IF(COUNTIFS('Agenda 2026'!$Q$2:$Q$376,DATE(2026,5,11),'Agenda 2026'!$M$2:$M$376,1)&gt;=7,CHAR(10)&amp;IFERROR(INDEX('Agenda 2026'!$B$2:$B$376,MATCH(DATE(2026,5,11)*10+7,'Agenda 2026'!$S$2:$S$376,0)),""),"")&amp;IF(COUNTIFS('Agenda 2026'!$Q$2:$Q$376,DATE(2026,5,11),'Agenda 2026'!$M$2:$M$376,1)&gt;=8,CHAR(10)&amp;IFERROR(INDEX('Agenda 2026'!$B$2:$B$376,MATCH(DATE(2026,5,11)*10+8,'Agenda 2026'!$S$2:$S$376,0)),""),"")&amp;IF(COUNTIFS('Agenda 2026'!$Q$2:$Q$376,DATE(2026,5,11),'Agenda 2026'!$M$2:$M$376,1)&gt;=9,CHAR(10)&amp;IFERROR(INDEX('Agenda 2026'!$B$2:$B$376,MATCH(DATE(2026,5,11)*10+9,'Agenda 2026'!$S$2:$S$376,0)),""),"")&amp;IF(COUNTIFS('Agenda 2026'!$Q$2:$Q$376,DATE(2026,5,11),'Agenda 2026'!$M$2:$M$376,1)&gt;=10,CHAR(10)&amp;IFERROR(INDEX('Agenda 2026'!$B$2:$B$376,MATCH(DATE(2026,5,11)*10+10,'Agenda 2026'!$S$2:$S$376,0)),""),"")&amp;IF(COUNTIFS('Agenda 2026'!$Q$2:$Q$376,DATE(2026,5,11),'Agenda 2026'!$M$2:$M$376,1)&gt;=11,CHAR(10)&amp;IFERROR(INDEX('Agenda 2026'!$B$2:$B$376,MATCH(DATE(2026,5,11)*10+11,'Agenda 2026'!$S$2:$S$376,0)),""),"")&amp;IF(COUNTIFS('Agenda 2026'!$Q$2:$Q$376,DATE(2026,5,11),'Agenda 2026'!$M$2:$M$376,1)&gt;=12,CHAR(10)&amp;IFERROR(INDEX('Agenda 2026'!$B$2:$B$376,MATCH(DATE(2026,5,11)*10+12,'Agenda 2026'!$S$2:$S$376,0)),""),"")</f>
        <v>11</v>
      </c>
      <c r="C49" s="58" t="str">
        <f t="array" ref="C49">12&amp;IF(COUNTIFS('Agenda 2026'!$Q$2:$Q$376,DATE(2026,5,12),'Agenda 2026'!$M$2:$M$376,1)&gt;=1,CHAR(10)&amp;IFERROR(INDEX('Agenda 2026'!$B$2:$B$376,MATCH(DATE(2026,5,12)*10+1,'Agenda 2026'!$S$2:$S$376,0)),""),"")&amp;IF(COUNTIFS('Agenda 2026'!$Q$2:$Q$376,DATE(2026,5,12),'Agenda 2026'!$M$2:$M$376,1)&gt;=2,CHAR(10)&amp;IFERROR(INDEX('Agenda 2026'!$B$2:$B$376,MATCH(DATE(2026,5,12)*10+2,'Agenda 2026'!$S$2:$S$376,0)),""),"")&amp;IF(COUNTIFS('Agenda 2026'!$Q$2:$Q$376,DATE(2026,5,12),'Agenda 2026'!$M$2:$M$376,1)&gt;=3,CHAR(10)&amp;IFERROR(INDEX('Agenda 2026'!$B$2:$B$376,MATCH(DATE(2026,5,12)*10+3,'Agenda 2026'!$S$2:$S$376,0)),""),"")&amp;IF(COUNTIFS('Agenda 2026'!$Q$2:$Q$376,DATE(2026,5,12),'Agenda 2026'!$M$2:$M$376,1)&gt;=4,CHAR(10)&amp;IFERROR(INDEX('Agenda 2026'!$B$2:$B$376,MATCH(DATE(2026,5,12)*10+4,'Agenda 2026'!$S$2:$S$376,0)),""),"")&amp;IF(COUNTIFS('Agenda 2026'!$Q$2:$Q$376,DATE(2026,5,12),'Agenda 2026'!$M$2:$M$376,1)&gt;=5,CHAR(10)&amp;IFERROR(INDEX('Agenda 2026'!$B$2:$B$376,MATCH(DATE(2026,5,12)*10+5,'Agenda 2026'!$S$2:$S$376,0)),""),"")&amp;IF(COUNTIFS('Agenda 2026'!$Q$2:$Q$376,DATE(2026,5,12),'Agenda 2026'!$M$2:$M$376,1)&gt;=6,CHAR(10)&amp;IFERROR(INDEX('Agenda 2026'!$B$2:$B$376,MATCH(DATE(2026,5,12)*10+6,'Agenda 2026'!$S$2:$S$376,0)),""),"")&amp;IF(COUNTIFS('Agenda 2026'!$Q$2:$Q$376,DATE(2026,5,12),'Agenda 2026'!$M$2:$M$376,1)&gt;=7,CHAR(10)&amp;IFERROR(INDEX('Agenda 2026'!$B$2:$B$376,MATCH(DATE(2026,5,12)*10+7,'Agenda 2026'!$S$2:$S$376,0)),""),"")&amp;IF(COUNTIFS('Agenda 2026'!$Q$2:$Q$376,DATE(2026,5,12),'Agenda 2026'!$M$2:$M$376,1)&gt;=8,CHAR(10)&amp;IFERROR(INDEX('Agenda 2026'!$B$2:$B$376,MATCH(DATE(2026,5,12)*10+8,'Agenda 2026'!$S$2:$S$376,0)),""),"")&amp;IF(COUNTIFS('Agenda 2026'!$Q$2:$Q$376,DATE(2026,5,12),'Agenda 2026'!$M$2:$M$376,1)&gt;=9,CHAR(10)&amp;IFERROR(INDEX('Agenda 2026'!$B$2:$B$376,MATCH(DATE(2026,5,12)*10+9,'Agenda 2026'!$S$2:$S$376,0)),""),"")&amp;IF(COUNTIFS('Agenda 2026'!$Q$2:$Q$376,DATE(2026,5,12),'Agenda 2026'!$M$2:$M$376,1)&gt;=10,CHAR(10)&amp;IFERROR(INDEX('Agenda 2026'!$B$2:$B$376,MATCH(DATE(2026,5,12)*10+10,'Agenda 2026'!$S$2:$S$376,0)),""),"")&amp;IF(COUNTIFS('Agenda 2026'!$Q$2:$Q$376,DATE(2026,5,12),'Agenda 2026'!$M$2:$M$376,1)&gt;=11,CHAR(10)&amp;IFERROR(INDEX('Agenda 2026'!$B$2:$B$376,MATCH(DATE(2026,5,12)*10+11,'Agenda 2026'!$S$2:$S$376,0)),""),"")&amp;IF(COUNTIFS('Agenda 2026'!$Q$2:$Q$376,DATE(2026,5,12),'Agenda 2026'!$M$2:$M$376,1)&gt;=12,CHAR(10)&amp;IFERROR(INDEX('Agenda 2026'!$B$2:$B$376,MATCH(DATE(2026,5,12)*10+12,'Agenda 2026'!$S$2:$S$376,0)),""),"")</f>
        <v>12</v>
      </c>
      <c r="D49" s="58" t="str">
        <f t="array" ref="D49">13&amp;IF(COUNTIFS('Agenda 2026'!$Q$2:$Q$376,DATE(2026,5,13),'Agenda 2026'!$M$2:$M$376,1)&gt;=1,CHAR(10)&amp;IFERROR(INDEX('Agenda 2026'!$B$2:$B$376,MATCH(DATE(2026,5,13)*10+1,'Agenda 2026'!$S$2:$S$376,0)),""),"")&amp;IF(COUNTIFS('Agenda 2026'!$Q$2:$Q$376,DATE(2026,5,13),'Agenda 2026'!$M$2:$M$376,1)&gt;=2,CHAR(10)&amp;IFERROR(INDEX('Agenda 2026'!$B$2:$B$376,MATCH(DATE(2026,5,13)*10+2,'Agenda 2026'!$S$2:$S$376,0)),""),"")&amp;IF(COUNTIFS('Agenda 2026'!$Q$2:$Q$376,DATE(2026,5,13),'Agenda 2026'!$M$2:$M$376,1)&gt;=3,CHAR(10)&amp;IFERROR(INDEX('Agenda 2026'!$B$2:$B$376,MATCH(DATE(2026,5,13)*10+3,'Agenda 2026'!$S$2:$S$376,0)),""),"")&amp;IF(COUNTIFS('Agenda 2026'!$Q$2:$Q$376,DATE(2026,5,13),'Agenda 2026'!$M$2:$M$376,1)&gt;=4,CHAR(10)&amp;IFERROR(INDEX('Agenda 2026'!$B$2:$B$376,MATCH(DATE(2026,5,13)*10+4,'Agenda 2026'!$S$2:$S$376,0)),""),"")&amp;IF(COUNTIFS('Agenda 2026'!$Q$2:$Q$376,DATE(2026,5,13),'Agenda 2026'!$M$2:$M$376,1)&gt;=5,CHAR(10)&amp;IFERROR(INDEX('Agenda 2026'!$B$2:$B$376,MATCH(DATE(2026,5,13)*10+5,'Agenda 2026'!$S$2:$S$376,0)),""),"")&amp;IF(COUNTIFS('Agenda 2026'!$Q$2:$Q$376,DATE(2026,5,13),'Agenda 2026'!$M$2:$M$376,1)&gt;=6,CHAR(10)&amp;IFERROR(INDEX('Agenda 2026'!$B$2:$B$376,MATCH(DATE(2026,5,13)*10+6,'Agenda 2026'!$S$2:$S$376,0)),""),"")&amp;IF(COUNTIFS('Agenda 2026'!$Q$2:$Q$376,DATE(2026,5,13),'Agenda 2026'!$M$2:$M$376,1)&gt;=7,CHAR(10)&amp;IFERROR(INDEX('Agenda 2026'!$B$2:$B$376,MATCH(DATE(2026,5,13)*10+7,'Agenda 2026'!$S$2:$S$376,0)),""),"")&amp;IF(COUNTIFS('Agenda 2026'!$Q$2:$Q$376,DATE(2026,5,13),'Agenda 2026'!$M$2:$M$376,1)&gt;=8,CHAR(10)&amp;IFERROR(INDEX('Agenda 2026'!$B$2:$B$376,MATCH(DATE(2026,5,13)*10+8,'Agenda 2026'!$S$2:$S$376,0)),""),"")&amp;IF(COUNTIFS('Agenda 2026'!$Q$2:$Q$376,DATE(2026,5,13),'Agenda 2026'!$M$2:$M$376,1)&gt;=9,CHAR(10)&amp;IFERROR(INDEX('Agenda 2026'!$B$2:$B$376,MATCH(DATE(2026,5,13)*10+9,'Agenda 2026'!$S$2:$S$376,0)),""),"")&amp;IF(COUNTIFS('Agenda 2026'!$Q$2:$Q$376,DATE(2026,5,13),'Agenda 2026'!$M$2:$M$376,1)&gt;=10,CHAR(10)&amp;IFERROR(INDEX('Agenda 2026'!$B$2:$B$376,MATCH(DATE(2026,5,13)*10+10,'Agenda 2026'!$S$2:$S$376,0)),""),"")&amp;IF(COUNTIFS('Agenda 2026'!$Q$2:$Q$376,DATE(2026,5,13),'Agenda 2026'!$M$2:$M$376,1)&gt;=11,CHAR(10)&amp;IFERROR(INDEX('Agenda 2026'!$B$2:$B$376,MATCH(DATE(2026,5,13)*10+11,'Agenda 2026'!$S$2:$S$376,0)),""),"")&amp;IF(COUNTIFS('Agenda 2026'!$Q$2:$Q$376,DATE(2026,5,13),'Agenda 2026'!$M$2:$M$376,1)&gt;=12,CHAR(10)&amp;IFERROR(INDEX('Agenda 2026'!$B$2:$B$376,MATCH(DATE(2026,5,13)*10+12,'Agenda 2026'!$S$2:$S$376,0)),""),"")</f>
        <v>13</v>
      </c>
      <c r="E49" s="58" t="str">
        <f t="array" ref="E49">14&amp;IF(COUNTIFS('Agenda 2026'!$Q$2:$Q$376,DATE(2026,5,14),'Agenda 2026'!$M$2:$M$376,1)&gt;=1,CHAR(10)&amp;IFERROR(INDEX('Agenda 2026'!$B$2:$B$376,MATCH(DATE(2026,5,14)*10+1,'Agenda 2026'!$S$2:$S$376,0)),""),"")&amp;IF(COUNTIFS('Agenda 2026'!$Q$2:$Q$376,DATE(2026,5,14),'Agenda 2026'!$M$2:$M$376,1)&gt;=2,CHAR(10)&amp;IFERROR(INDEX('Agenda 2026'!$B$2:$B$376,MATCH(DATE(2026,5,14)*10+2,'Agenda 2026'!$S$2:$S$376,0)),""),"")&amp;IF(COUNTIFS('Agenda 2026'!$Q$2:$Q$376,DATE(2026,5,14),'Agenda 2026'!$M$2:$M$376,1)&gt;=3,CHAR(10)&amp;IFERROR(INDEX('Agenda 2026'!$B$2:$B$376,MATCH(DATE(2026,5,14)*10+3,'Agenda 2026'!$S$2:$S$376,0)),""),"")&amp;IF(COUNTIFS('Agenda 2026'!$Q$2:$Q$376,DATE(2026,5,14),'Agenda 2026'!$M$2:$M$376,1)&gt;=4,CHAR(10)&amp;IFERROR(INDEX('Agenda 2026'!$B$2:$B$376,MATCH(DATE(2026,5,14)*10+4,'Agenda 2026'!$S$2:$S$376,0)),""),"")&amp;IF(COUNTIFS('Agenda 2026'!$Q$2:$Q$376,DATE(2026,5,14),'Agenda 2026'!$M$2:$M$376,1)&gt;=5,CHAR(10)&amp;IFERROR(INDEX('Agenda 2026'!$B$2:$B$376,MATCH(DATE(2026,5,14)*10+5,'Agenda 2026'!$S$2:$S$376,0)),""),"")&amp;IF(COUNTIFS('Agenda 2026'!$Q$2:$Q$376,DATE(2026,5,14),'Agenda 2026'!$M$2:$M$376,1)&gt;=6,CHAR(10)&amp;IFERROR(INDEX('Agenda 2026'!$B$2:$B$376,MATCH(DATE(2026,5,14)*10+6,'Agenda 2026'!$S$2:$S$376,0)),""),"")&amp;IF(COUNTIFS('Agenda 2026'!$Q$2:$Q$376,DATE(2026,5,14),'Agenda 2026'!$M$2:$M$376,1)&gt;=7,CHAR(10)&amp;IFERROR(INDEX('Agenda 2026'!$B$2:$B$376,MATCH(DATE(2026,5,14)*10+7,'Agenda 2026'!$S$2:$S$376,0)),""),"")&amp;IF(COUNTIFS('Agenda 2026'!$Q$2:$Q$376,DATE(2026,5,14),'Agenda 2026'!$M$2:$M$376,1)&gt;=8,CHAR(10)&amp;IFERROR(INDEX('Agenda 2026'!$B$2:$B$376,MATCH(DATE(2026,5,14)*10+8,'Agenda 2026'!$S$2:$S$376,0)),""),"")&amp;IF(COUNTIFS('Agenda 2026'!$Q$2:$Q$376,DATE(2026,5,14),'Agenda 2026'!$M$2:$M$376,1)&gt;=9,CHAR(10)&amp;IFERROR(INDEX('Agenda 2026'!$B$2:$B$376,MATCH(DATE(2026,5,14)*10+9,'Agenda 2026'!$S$2:$S$376,0)),""),"")&amp;IF(COUNTIFS('Agenda 2026'!$Q$2:$Q$376,DATE(2026,5,14),'Agenda 2026'!$M$2:$M$376,1)&gt;=10,CHAR(10)&amp;IFERROR(INDEX('Agenda 2026'!$B$2:$B$376,MATCH(DATE(2026,5,14)*10+10,'Agenda 2026'!$S$2:$S$376,0)),""),"")&amp;IF(COUNTIFS('Agenda 2026'!$Q$2:$Q$376,DATE(2026,5,14),'Agenda 2026'!$M$2:$M$376,1)&gt;=11,CHAR(10)&amp;IFERROR(INDEX('Agenda 2026'!$B$2:$B$376,MATCH(DATE(2026,5,14)*10+11,'Agenda 2026'!$S$2:$S$376,0)),""),"")&amp;IF(COUNTIFS('Agenda 2026'!$Q$2:$Q$376,DATE(2026,5,14),'Agenda 2026'!$M$2:$M$376,1)&gt;=12,CHAR(10)&amp;IFERROR(INDEX('Agenda 2026'!$B$2:$B$376,MATCH(DATE(2026,5,14)*10+12,'Agenda 2026'!$S$2:$S$376,0)),""),"")</f>
        <v>14</v>
      </c>
      <c r="F49" s="58" t="str">
        <f t="array" ref="F49">15&amp;IF(COUNTIFS('Agenda 2026'!$Q$2:$Q$376,DATE(2026,5,15),'Agenda 2026'!$M$2:$M$376,1)&gt;=1,CHAR(10)&amp;IFERROR(INDEX('Agenda 2026'!$B$2:$B$376,MATCH(DATE(2026,5,15)*10+1,'Agenda 2026'!$S$2:$S$376,0)),""),"")&amp;IF(COUNTIFS('Agenda 2026'!$Q$2:$Q$376,DATE(2026,5,15),'Agenda 2026'!$M$2:$M$376,1)&gt;=2,CHAR(10)&amp;IFERROR(INDEX('Agenda 2026'!$B$2:$B$376,MATCH(DATE(2026,5,15)*10+2,'Agenda 2026'!$S$2:$S$376,0)),""),"")&amp;IF(COUNTIFS('Agenda 2026'!$Q$2:$Q$376,DATE(2026,5,15),'Agenda 2026'!$M$2:$M$376,1)&gt;=3,CHAR(10)&amp;IFERROR(INDEX('Agenda 2026'!$B$2:$B$376,MATCH(DATE(2026,5,15)*10+3,'Agenda 2026'!$S$2:$S$376,0)),""),"")&amp;IF(COUNTIFS('Agenda 2026'!$Q$2:$Q$376,DATE(2026,5,15),'Agenda 2026'!$M$2:$M$376,1)&gt;=4,CHAR(10)&amp;IFERROR(INDEX('Agenda 2026'!$B$2:$B$376,MATCH(DATE(2026,5,15)*10+4,'Agenda 2026'!$S$2:$S$376,0)),""),"")&amp;IF(COUNTIFS('Agenda 2026'!$Q$2:$Q$376,DATE(2026,5,15),'Agenda 2026'!$M$2:$M$376,1)&gt;=5,CHAR(10)&amp;IFERROR(INDEX('Agenda 2026'!$B$2:$B$376,MATCH(DATE(2026,5,15)*10+5,'Agenda 2026'!$S$2:$S$376,0)),""),"")&amp;IF(COUNTIFS('Agenda 2026'!$Q$2:$Q$376,DATE(2026,5,15),'Agenda 2026'!$M$2:$M$376,1)&gt;=6,CHAR(10)&amp;IFERROR(INDEX('Agenda 2026'!$B$2:$B$376,MATCH(DATE(2026,5,15)*10+6,'Agenda 2026'!$S$2:$S$376,0)),""),"")&amp;IF(COUNTIFS('Agenda 2026'!$Q$2:$Q$376,DATE(2026,5,15),'Agenda 2026'!$M$2:$M$376,1)&gt;=7,CHAR(10)&amp;IFERROR(INDEX('Agenda 2026'!$B$2:$B$376,MATCH(DATE(2026,5,15)*10+7,'Agenda 2026'!$S$2:$S$376,0)),""),"")&amp;IF(COUNTIFS('Agenda 2026'!$Q$2:$Q$376,DATE(2026,5,15),'Agenda 2026'!$M$2:$M$376,1)&gt;=8,CHAR(10)&amp;IFERROR(INDEX('Agenda 2026'!$B$2:$B$376,MATCH(DATE(2026,5,15)*10+8,'Agenda 2026'!$S$2:$S$376,0)),""),"")&amp;IF(COUNTIFS('Agenda 2026'!$Q$2:$Q$376,DATE(2026,5,15),'Agenda 2026'!$M$2:$M$376,1)&gt;=9,CHAR(10)&amp;IFERROR(INDEX('Agenda 2026'!$B$2:$B$376,MATCH(DATE(2026,5,15)*10+9,'Agenda 2026'!$S$2:$S$376,0)),""),"")&amp;IF(COUNTIFS('Agenda 2026'!$Q$2:$Q$376,DATE(2026,5,15),'Agenda 2026'!$M$2:$M$376,1)&gt;=10,CHAR(10)&amp;IFERROR(INDEX('Agenda 2026'!$B$2:$B$376,MATCH(DATE(2026,5,15)*10+10,'Agenda 2026'!$S$2:$S$376,0)),""),"")&amp;IF(COUNTIFS('Agenda 2026'!$Q$2:$Q$376,DATE(2026,5,15),'Agenda 2026'!$M$2:$M$376,1)&gt;=11,CHAR(10)&amp;IFERROR(INDEX('Agenda 2026'!$B$2:$B$376,MATCH(DATE(2026,5,15)*10+11,'Agenda 2026'!$S$2:$S$376,0)),""),"")&amp;IF(COUNTIFS('Agenda 2026'!$Q$2:$Q$376,DATE(2026,5,15),'Agenda 2026'!$M$2:$M$376,1)&gt;=12,CHAR(10)&amp;IFERROR(INDEX('Agenda 2026'!$B$2:$B$376,MATCH(DATE(2026,5,15)*10+12,'Agenda 2026'!$S$2:$S$376,0)),""),"")</f>
        <v>15</v>
      </c>
      <c r="G49" s="58" t="str">
        <f t="array" ref="G49">16&amp;IF(COUNTIFS('Agenda 2026'!$Q$2:$Q$376,DATE(2026,5,16),'Agenda 2026'!$M$2:$M$376,1)&gt;=1,CHAR(10)&amp;IFERROR(INDEX('Agenda 2026'!$B$2:$B$376,MATCH(DATE(2026,5,16)*10+1,'Agenda 2026'!$S$2:$S$376,0)),""),"")&amp;IF(COUNTIFS('Agenda 2026'!$Q$2:$Q$376,DATE(2026,5,16),'Agenda 2026'!$M$2:$M$376,1)&gt;=2,CHAR(10)&amp;IFERROR(INDEX('Agenda 2026'!$B$2:$B$376,MATCH(DATE(2026,5,16)*10+2,'Agenda 2026'!$S$2:$S$376,0)),""),"")&amp;IF(COUNTIFS('Agenda 2026'!$Q$2:$Q$376,DATE(2026,5,16),'Agenda 2026'!$M$2:$M$376,1)&gt;=3,CHAR(10)&amp;IFERROR(INDEX('Agenda 2026'!$B$2:$B$376,MATCH(DATE(2026,5,16)*10+3,'Agenda 2026'!$S$2:$S$376,0)),""),"")&amp;IF(COUNTIFS('Agenda 2026'!$Q$2:$Q$376,DATE(2026,5,16),'Agenda 2026'!$M$2:$M$376,1)&gt;=4,CHAR(10)&amp;IFERROR(INDEX('Agenda 2026'!$B$2:$B$376,MATCH(DATE(2026,5,16)*10+4,'Agenda 2026'!$S$2:$S$376,0)),""),"")&amp;IF(COUNTIFS('Agenda 2026'!$Q$2:$Q$376,DATE(2026,5,16),'Agenda 2026'!$M$2:$M$376,1)&gt;=5,CHAR(10)&amp;IFERROR(INDEX('Agenda 2026'!$B$2:$B$376,MATCH(DATE(2026,5,16)*10+5,'Agenda 2026'!$S$2:$S$376,0)),""),"")&amp;IF(COUNTIFS('Agenda 2026'!$Q$2:$Q$376,DATE(2026,5,16),'Agenda 2026'!$M$2:$M$376,1)&gt;=6,CHAR(10)&amp;IFERROR(INDEX('Agenda 2026'!$B$2:$B$376,MATCH(DATE(2026,5,16)*10+6,'Agenda 2026'!$S$2:$S$376,0)),""),"")&amp;IF(COUNTIFS('Agenda 2026'!$Q$2:$Q$376,DATE(2026,5,16),'Agenda 2026'!$M$2:$M$376,1)&gt;=7,CHAR(10)&amp;IFERROR(INDEX('Agenda 2026'!$B$2:$B$376,MATCH(DATE(2026,5,16)*10+7,'Agenda 2026'!$S$2:$S$376,0)),""),"")&amp;IF(COUNTIFS('Agenda 2026'!$Q$2:$Q$376,DATE(2026,5,16),'Agenda 2026'!$M$2:$M$376,1)&gt;=8,CHAR(10)&amp;IFERROR(INDEX('Agenda 2026'!$B$2:$B$376,MATCH(DATE(2026,5,16)*10+8,'Agenda 2026'!$S$2:$S$376,0)),""),"")&amp;IF(COUNTIFS('Agenda 2026'!$Q$2:$Q$376,DATE(2026,5,16),'Agenda 2026'!$M$2:$M$376,1)&gt;=9,CHAR(10)&amp;IFERROR(INDEX('Agenda 2026'!$B$2:$B$376,MATCH(DATE(2026,5,16)*10+9,'Agenda 2026'!$S$2:$S$376,0)),""),"")&amp;IF(COUNTIFS('Agenda 2026'!$Q$2:$Q$376,DATE(2026,5,16),'Agenda 2026'!$M$2:$M$376,1)&gt;=10,CHAR(10)&amp;IFERROR(INDEX('Agenda 2026'!$B$2:$B$376,MATCH(DATE(2026,5,16)*10+10,'Agenda 2026'!$S$2:$S$376,0)),""),"")&amp;IF(COUNTIFS('Agenda 2026'!$Q$2:$Q$376,DATE(2026,5,16),'Agenda 2026'!$M$2:$M$376,1)&gt;=11,CHAR(10)&amp;IFERROR(INDEX('Agenda 2026'!$B$2:$B$376,MATCH(DATE(2026,5,16)*10+11,'Agenda 2026'!$S$2:$S$376,0)),""),"")&amp;IF(COUNTIFS('Agenda 2026'!$Q$2:$Q$376,DATE(2026,5,16),'Agenda 2026'!$M$2:$M$376,1)&gt;=12,CHAR(10)&amp;IFERROR(INDEX('Agenda 2026'!$B$2:$B$376,MATCH(DATE(2026,5,16)*10+12,'Agenda 2026'!$S$2:$S$376,0)),""),"")</f>
        <v>16</v>
      </c>
      <c r="H49" s="58" t="str">
        <f t="array" ref="H49">17&amp;IF(COUNTIFS('Agenda 2026'!$Q$2:$Q$376,DATE(2026,5,17),'Agenda 2026'!$M$2:$M$376,1)&gt;=1,CHAR(10)&amp;IFERROR(INDEX('Agenda 2026'!$B$2:$B$376,MATCH(DATE(2026,5,17)*10+1,'Agenda 2026'!$S$2:$S$376,0)),""),"")&amp;IF(COUNTIFS('Agenda 2026'!$Q$2:$Q$376,DATE(2026,5,17),'Agenda 2026'!$M$2:$M$376,1)&gt;=2,CHAR(10)&amp;IFERROR(INDEX('Agenda 2026'!$B$2:$B$376,MATCH(DATE(2026,5,17)*10+2,'Agenda 2026'!$S$2:$S$376,0)),""),"")&amp;IF(COUNTIFS('Agenda 2026'!$Q$2:$Q$376,DATE(2026,5,17),'Agenda 2026'!$M$2:$M$376,1)&gt;=3,CHAR(10)&amp;IFERROR(INDEX('Agenda 2026'!$B$2:$B$376,MATCH(DATE(2026,5,17)*10+3,'Agenda 2026'!$S$2:$S$376,0)),""),"")&amp;IF(COUNTIFS('Agenda 2026'!$Q$2:$Q$376,DATE(2026,5,17),'Agenda 2026'!$M$2:$M$376,1)&gt;=4,CHAR(10)&amp;IFERROR(INDEX('Agenda 2026'!$B$2:$B$376,MATCH(DATE(2026,5,17)*10+4,'Agenda 2026'!$S$2:$S$376,0)),""),"")&amp;IF(COUNTIFS('Agenda 2026'!$Q$2:$Q$376,DATE(2026,5,17),'Agenda 2026'!$M$2:$M$376,1)&gt;=5,CHAR(10)&amp;IFERROR(INDEX('Agenda 2026'!$B$2:$B$376,MATCH(DATE(2026,5,17)*10+5,'Agenda 2026'!$S$2:$S$376,0)),""),"")&amp;IF(COUNTIFS('Agenda 2026'!$Q$2:$Q$376,DATE(2026,5,17),'Agenda 2026'!$M$2:$M$376,1)&gt;=6,CHAR(10)&amp;IFERROR(INDEX('Agenda 2026'!$B$2:$B$376,MATCH(DATE(2026,5,17)*10+6,'Agenda 2026'!$S$2:$S$376,0)),""),"")&amp;IF(COUNTIFS('Agenda 2026'!$Q$2:$Q$376,DATE(2026,5,17),'Agenda 2026'!$M$2:$M$376,1)&gt;=7,CHAR(10)&amp;IFERROR(INDEX('Agenda 2026'!$B$2:$B$376,MATCH(DATE(2026,5,17)*10+7,'Agenda 2026'!$S$2:$S$376,0)),""),"")&amp;IF(COUNTIFS('Agenda 2026'!$Q$2:$Q$376,DATE(2026,5,17),'Agenda 2026'!$M$2:$M$376,1)&gt;=8,CHAR(10)&amp;IFERROR(INDEX('Agenda 2026'!$B$2:$B$376,MATCH(DATE(2026,5,17)*10+8,'Agenda 2026'!$S$2:$S$376,0)),""),"")&amp;IF(COUNTIFS('Agenda 2026'!$Q$2:$Q$376,DATE(2026,5,17),'Agenda 2026'!$M$2:$M$376,1)&gt;=9,CHAR(10)&amp;IFERROR(INDEX('Agenda 2026'!$B$2:$B$376,MATCH(DATE(2026,5,17)*10+9,'Agenda 2026'!$S$2:$S$376,0)),""),"")&amp;IF(COUNTIFS('Agenda 2026'!$Q$2:$Q$376,DATE(2026,5,17),'Agenda 2026'!$M$2:$M$376,1)&gt;=10,CHAR(10)&amp;IFERROR(INDEX('Agenda 2026'!$B$2:$B$376,MATCH(DATE(2026,5,17)*10+10,'Agenda 2026'!$S$2:$S$376,0)),""),"")&amp;IF(COUNTIFS('Agenda 2026'!$Q$2:$Q$376,DATE(2026,5,17),'Agenda 2026'!$M$2:$M$376,1)&gt;=11,CHAR(10)&amp;IFERROR(INDEX('Agenda 2026'!$B$2:$B$376,MATCH(DATE(2026,5,17)*10+11,'Agenda 2026'!$S$2:$S$376,0)),""),"")&amp;IF(COUNTIFS('Agenda 2026'!$Q$2:$Q$376,DATE(2026,5,17),'Agenda 2026'!$M$2:$M$376,1)&gt;=12,CHAR(10)&amp;IFERROR(INDEX('Agenda 2026'!$B$2:$B$376,MATCH(DATE(2026,5,17)*10+12,'Agenda 2026'!$S$2:$S$376,0)),""),"")</f>
        <v>17</v>
      </c>
    </row>
    <row r="50" spans="1:8" ht="69.75" customHeight="1" x14ac:dyDescent="0.35">
      <c r="A50" s="17"/>
      <c r="B50" s="58" t="str">
        <f t="array" ref="B50">18&amp;IF(COUNTIFS('Agenda 2026'!$Q$2:$Q$376,DATE(2026,5,18),'Agenda 2026'!$M$2:$M$376,1)&gt;=1,CHAR(10)&amp;IFERROR(INDEX('Agenda 2026'!$B$2:$B$376,MATCH(DATE(2026,5,18)*10+1,'Agenda 2026'!$S$2:$S$376,0)),""),"")&amp;IF(COUNTIFS('Agenda 2026'!$Q$2:$Q$376,DATE(2026,5,18),'Agenda 2026'!$M$2:$M$376,1)&gt;=2,CHAR(10)&amp;IFERROR(INDEX('Agenda 2026'!$B$2:$B$376,MATCH(DATE(2026,5,18)*10+2,'Agenda 2026'!$S$2:$S$376,0)),""),"")&amp;IF(COUNTIFS('Agenda 2026'!$Q$2:$Q$376,DATE(2026,5,18),'Agenda 2026'!$M$2:$M$376,1)&gt;=3,CHAR(10)&amp;IFERROR(INDEX('Agenda 2026'!$B$2:$B$376,MATCH(DATE(2026,5,18)*10+3,'Agenda 2026'!$S$2:$S$376,0)),""),"")&amp;IF(COUNTIFS('Agenda 2026'!$Q$2:$Q$376,DATE(2026,5,18),'Agenda 2026'!$M$2:$M$376,1)&gt;=4,CHAR(10)&amp;IFERROR(INDEX('Agenda 2026'!$B$2:$B$376,MATCH(DATE(2026,5,18)*10+4,'Agenda 2026'!$S$2:$S$376,0)),""),"")&amp;IF(COUNTIFS('Agenda 2026'!$Q$2:$Q$376,DATE(2026,5,18),'Agenda 2026'!$M$2:$M$376,1)&gt;=5,CHAR(10)&amp;IFERROR(INDEX('Agenda 2026'!$B$2:$B$376,MATCH(DATE(2026,5,18)*10+5,'Agenda 2026'!$S$2:$S$376,0)),""),"")&amp;IF(COUNTIFS('Agenda 2026'!$Q$2:$Q$376,DATE(2026,5,18),'Agenda 2026'!$M$2:$M$376,1)&gt;=6,CHAR(10)&amp;IFERROR(INDEX('Agenda 2026'!$B$2:$B$376,MATCH(DATE(2026,5,18)*10+6,'Agenda 2026'!$S$2:$S$376,0)),""),"")&amp;IF(COUNTIFS('Agenda 2026'!$Q$2:$Q$376,DATE(2026,5,18),'Agenda 2026'!$M$2:$M$376,1)&gt;=7,CHAR(10)&amp;IFERROR(INDEX('Agenda 2026'!$B$2:$B$376,MATCH(DATE(2026,5,18)*10+7,'Agenda 2026'!$S$2:$S$376,0)),""),"")&amp;IF(COUNTIFS('Agenda 2026'!$Q$2:$Q$376,DATE(2026,5,18),'Agenda 2026'!$M$2:$M$376,1)&gt;=8,CHAR(10)&amp;IFERROR(INDEX('Agenda 2026'!$B$2:$B$376,MATCH(DATE(2026,5,18)*10+8,'Agenda 2026'!$S$2:$S$376,0)),""),"")&amp;IF(COUNTIFS('Agenda 2026'!$Q$2:$Q$376,DATE(2026,5,18),'Agenda 2026'!$M$2:$M$376,1)&gt;=9,CHAR(10)&amp;IFERROR(INDEX('Agenda 2026'!$B$2:$B$376,MATCH(DATE(2026,5,18)*10+9,'Agenda 2026'!$S$2:$S$376,0)),""),"")&amp;IF(COUNTIFS('Agenda 2026'!$Q$2:$Q$376,DATE(2026,5,18),'Agenda 2026'!$M$2:$M$376,1)&gt;=10,CHAR(10)&amp;IFERROR(INDEX('Agenda 2026'!$B$2:$B$376,MATCH(DATE(2026,5,18)*10+10,'Agenda 2026'!$S$2:$S$376,0)),""),"")&amp;IF(COUNTIFS('Agenda 2026'!$Q$2:$Q$376,DATE(2026,5,18),'Agenda 2026'!$M$2:$M$376,1)&gt;=11,CHAR(10)&amp;IFERROR(INDEX('Agenda 2026'!$B$2:$B$376,MATCH(DATE(2026,5,18)*10+11,'Agenda 2026'!$S$2:$S$376,0)),""),"")&amp;IF(COUNTIFS('Agenda 2026'!$Q$2:$Q$376,DATE(2026,5,18),'Agenda 2026'!$M$2:$M$376,1)&gt;=12,CHAR(10)&amp;IFERROR(INDEX('Agenda 2026'!$B$2:$B$376,MATCH(DATE(2026,5,18)*10+12,'Agenda 2026'!$S$2:$S$376,0)),""),"")</f>
        <v>18</v>
      </c>
      <c r="C50" s="58" t="str">
        <f t="array" ref="C50">19&amp;IF(COUNTIFS('Agenda 2026'!$Q$2:$Q$376,DATE(2026,5,19),'Agenda 2026'!$M$2:$M$376,1)&gt;=1,CHAR(10)&amp;IFERROR(INDEX('Agenda 2026'!$B$2:$B$376,MATCH(DATE(2026,5,19)*10+1,'Agenda 2026'!$S$2:$S$376,0)),""),"")&amp;IF(COUNTIFS('Agenda 2026'!$Q$2:$Q$376,DATE(2026,5,19),'Agenda 2026'!$M$2:$M$376,1)&gt;=2,CHAR(10)&amp;IFERROR(INDEX('Agenda 2026'!$B$2:$B$376,MATCH(DATE(2026,5,19)*10+2,'Agenda 2026'!$S$2:$S$376,0)),""),"")&amp;IF(COUNTIFS('Agenda 2026'!$Q$2:$Q$376,DATE(2026,5,19),'Agenda 2026'!$M$2:$M$376,1)&gt;=3,CHAR(10)&amp;IFERROR(INDEX('Agenda 2026'!$B$2:$B$376,MATCH(DATE(2026,5,19)*10+3,'Agenda 2026'!$S$2:$S$376,0)),""),"")&amp;IF(COUNTIFS('Agenda 2026'!$Q$2:$Q$376,DATE(2026,5,19),'Agenda 2026'!$M$2:$M$376,1)&gt;=4,CHAR(10)&amp;IFERROR(INDEX('Agenda 2026'!$B$2:$B$376,MATCH(DATE(2026,5,19)*10+4,'Agenda 2026'!$S$2:$S$376,0)),""),"")&amp;IF(COUNTIFS('Agenda 2026'!$Q$2:$Q$376,DATE(2026,5,19),'Agenda 2026'!$M$2:$M$376,1)&gt;=5,CHAR(10)&amp;IFERROR(INDEX('Agenda 2026'!$B$2:$B$376,MATCH(DATE(2026,5,19)*10+5,'Agenda 2026'!$S$2:$S$376,0)),""),"")&amp;IF(COUNTIFS('Agenda 2026'!$Q$2:$Q$376,DATE(2026,5,19),'Agenda 2026'!$M$2:$M$376,1)&gt;=6,CHAR(10)&amp;IFERROR(INDEX('Agenda 2026'!$B$2:$B$376,MATCH(DATE(2026,5,19)*10+6,'Agenda 2026'!$S$2:$S$376,0)),""),"")&amp;IF(COUNTIFS('Agenda 2026'!$Q$2:$Q$376,DATE(2026,5,19),'Agenda 2026'!$M$2:$M$376,1)&gt;=7,CHAR(10)&amp;IFERROR(INDEX('Agenda 2026'!$B$2:$B$376,MATCH(DATE(2026,5,19)*10+7,'Agenda 2026'!$S$2:$S$376,0)),""),"")&amp;IF(COUNTIFS('Agenda 2026'!$Q$2:$Q$376,DATE(2026,5,19),'Agenda 2026'!$M$2:$M$376,1)&gt;=8,CHAR(10)&amp;IFERROR(INDEX('Agenda 2026'!$B$2:$B$376,MATCH(DATE(2026,5,19)*10+8,'Agenda 2026'!$S$2:$S$376,0)),""),"")&amp;IF(COUNTIFS('Agenda 2026'!$Q$2:$Q$376,DATE(2026,5,19),'Agenda 2026'!$M$2:$M$376,1)&gt;=9,CHAR(10)&amp;IFERROR(INDEX('Agenda 2026'!$B$2:$B$376,MATCH(DATE(2026,5,19)*10+9,'Agenda 2026'!$S$2:$S$376,0)),""),"")&amp;IF(COUNTIFS('Agenda 2026'!$Q$2:$Q$376,DATE(2026,5,19),'Agenda 2026'!$M$2:$M$376,1)&gt;=10,CHAR(10)&amp;IFERROR(INDEX('Agenda 2026'!$B$2:$B$376,MATCH(DATE(2026,5,19)*10+10,'Agenda 2026'!$S$2:$S$376,0)),""),"")&amp;IF(COUNTIFS('Agenda 2026'!$Q$2:$Q$376,DATE(2026,5,19),'Agenda 2026'!$M$2:$M$376,1)&gt;=11,CHAR(10)&amp;IFERROR(INDEX('Agenda 2026'!$B$2:$B$376,MATCH(DATE(2026,5,19)*10+11,'Agenda 2026'!$S$2:$S$376,0)),""),"")&amp;IF(COUNTIFS('Agenda 2026'!$Q$2:$Q$376,DATE(2026,5,19),'Agenda 2026'!$M$2:$M$376,1)&gt;=12,CHAR(10)&amp;IFERROR(INDEX('Agenda 2026'!$B$2:$B$376,MATCH(DATE(2026,5,19)*10+12,'Agenda 2026'!$S$2:$S$376,0)),""),"")</f>
        <v>19</v>
      </c>
      <c r="D50" s="58" t="str">
        <f t="array" ref="D50">20&amp;IF(COUNTIFS('Agenda 2026'!$Q$2:$Q$376,DATE(2026,5,20),'Agenda 2026'!$M$2:$M$376,1)&gt;=1,CHAR(10)&amp;IFERROR(INDEX('Agenda 2026'!$B$2:$B$376,MATCH(DATE(2026,5,20)*10+1,'Agenda 2026'!$S$2:$S$376,0)),""),"")&amp;IF(COUNTIFS('Agenda 2026'!$Q$2:$Q$376,DATE(2026,5,20),'Agenda 2026'!$M$2:$M$376,1)&gt;=2,CHAR(10)&amp;IFERROR(INDEX('Agenda 2026'!$B$2:$B$376,MATCH(DATE(2026,5,20)*10+2,'Agenda 2026'!$S$2:$S$376,0)),""),"")&amp;IF(COUNTIFS('Agenda 2026'!$Q$2:$Q$376,DATE(2026,5,20),'Agenda 2026'!$M$2:$M$376,1)&gt;=3,CHAR(10)&amp;IFERROR(INDEX('Agenda 2026'!$B$2:$B$376,MATCH(DATE(2026,5,20)*10+3,'Agenda 2026'!$S$2:$S$376,0)),""),"")&amp;IF(COUNTIFS('Agenda 2026'!$Q$2:$Q$376,DATE(2026,5,20),'Agenda 2026'!$M$2:$M$376,1)&gt;=4,CHAR(10)&amp;IFERROR(INDEX('Agenda 2026'!$B$2:$B$376,MATCH(DATE(2026,5,20)*10+4,'Agenda 2026'!$S$2:$S$376,0)),""),"")&amp;IF(COUNTIFS('Agenda 2026'!$Q$2:$Q$376,DATE(2026,5,20),'Agenda 2026'!$M$2:$M$376,1)&gt;=5,CHAR(10)&amp;IFERROR(INDEX('Agenda 2026'!$B$2:$B$376,MATCH(DATE(2026,5,20)*10+5,'Agenda 2026'!$S$2:$S$376,0)),""),"")&amp;IF(COUNTIFS('Agenda 2026'!$Q$2:$Q$376,DATE(2026,5,20),'Agenda 2026'!$M$2:$M$376,1)&gt;=6,CHAR(10)&amp;IFERROR(INDEX('Agenda 2026'!$B$2:$B$376,MATCH(DATE(2026,5,20)*10+6,'Agenda 2026'!$S$2:$S$376,0)),""),"")&amp;IF(COUNTIFS('Agenda 2026'!$Q$2:$Q$376,DATE(2026,5,20),'Agenda 2026'!$M$2:$M$376,1)&gt;=7,CHAR(10)&amp;IFERROR(INDEX('Agenda 2026'!$B$2:$B$376,MATCH(DATE(2026,5,20)*10+7,'Agenda 2026'!$S$2:$S$376,0)),""),"")&amp;IF(COUNTIFS('Agenda 2026'!$Q$2:$Q$376,DATE(2026,5,20),'Agenda 2026'!$M$2:$M$376,1)&gt;=8,CHAR(10)&amp;IFERROR(INDEX('Agenda 2026'!$B$2:$B$376,MATCH(DATE(2026,5,20)*10+8,'Agenda 2026'!$S$2:$S$376,0)),""),"")&amp;IF(COUNTIFS('Agenda 2026'!$Q$2:$Q$376,DATE(2026,5,20),'Agenda 2026'!$M$2:$M$376,1)&gt;=9,CHAR(10)&amp;IFERROR(INDEX('Agenda 2026'!$B$2:$B$376,MATCH(DATE(2026,5,20)*10+9,'Agenda 2026'!$S$2:$S$376,0)),""),"")&amp;IF(COUNTIFS('Agenda 2026'!$Q$2:$Q$376,DATE(2026,5,20),'Agenda 2026'!$M$2:$M$376,1)&gt;=10,CHAR(10)&amp;IFERROR(INDEX('Agenda 2026'!$B$2:$B$376,MATCH(DATE(2026,5,20)*10+10,'Agenda 2026'!$S$2:$S$376,0)),""),"")&amp;IF(COUNTIFS('Agenda 2026'!$Q$2:$Q$376,DATE(2026,5,20),'Agenda 2026'!$M$2:$M$376,1)&gt;=11,CHAR(10)&amp;IFERROR(INDEX('Agenda 2026'!$B$2:$B$376,MATCH(DATE(2026,5,20)*10+11,'Agenda 2026'!$S$2:$S$376,0)),""),"")&amp;IF(COUNTIFS('Agenda 2026'!$Q$2:$Q$376,DATE(2026,5,20),'Agenda 2026'!$M$2:$M$376,1)&gt;=12,CHAR(10)&amp;IFERROR(INDEX('Agenda 2026'!$B$2:$B$376,MATCH(DATE(2026,5,20)*10+12,'Agenda 2026'!$S$2:$S$376,0)),""),"")</f>
        <v>20</v>
      </c>
      <c r="E50" s="58" t="str">
        <f t="array" ref="E50">21&amp;IF(COUNTIFS('Agenda 2026'!$Q$2:$Q$376,DATE(2026,5,21),'Agenda 2026'!$M$2:$M$376,1)&gt;=1,CHAR(10)&amp;IFERROR(INDEX('Agenda 2026'!$B$2:$B$376,MATCH(DATE(2026,5,21)*10+1,'Agenda 2026'!$S$2:$S$376,0)),""),"")&amp;IF(COUNTIFS('Agenda 2026'!$Q$2:$Q$376,DATE(2026,5,21),'Agenda 2026'!$M$2:$M$376,1)&gt;=2,CHAR(10)&amp;IFERROR(INDEX('Agenda 2026'!$B$2:$B$376,MATCH(DATE(2026,5,21)*10+2,'Agenda 2026'!$S$2:$S$376,0)),""),"")&amp;IF(COUNTIFS('Agenda 2026'!$Q$2:$Q$376,DATE(2026,5,21),'Agenda 2026'!$M$2:$M$376,1)&gt;=3,CHAR(10)&amp;IFERROR(INDEX('Agenda 2026'!$B$2:$B$376,MATCH(DATE(2026,5,21)*10+3,'Agenda 2026'!$S$2:$S$376,0)),""),"")&amp;IF(COUNTIFS('Agenda 2026'!$Q$2:$Q$376,DATE(2026,5,21),'Agenda 2026'!$M$2:$M$376,1)&gt;=4,CHAR(10)&amp;IFERROR(INDEX('Agenda 2026'!$B$2:$B$376,MATCH(DATE(2026,5,21)*10+4,'Agenda 2026'!$S$2:$S$376,0)),""),"")&amp;IF(COUNTIFS('Agenda 2026'!$Q$2:$Q$376,DATE(2026,5,21),'Agenda 2026'!$M$2:$M$376,1)&gt;=5,CHAR(10)&amp;IFERROR(INDEX('Agenda 2026'!$B$2:$B$376,MATCH(DATE(2026,5,21)*10+5,'Agenda 2026'!$S$2:$S$376,0)),""),"")&amp;IF(COUNTIFS('Agenda 2026'!$Q$2:$Q$376,DATE(2026,5,21),'Agenda 2026'!$M$2:$M$376,1)&gt;=6,CHAR(10)&amp;IFERROR(INDEX('Agenda 2026'!$B$2:$B$376,MATCH(DATE(2026,5,21)*10+6,'Agenda 2026'!$S$2:$S$376,0)),""),"")&amp;IF(COUNTIFS('Agenda 2026'!$Q$2:$Q$376,DATE(2026,5,21),'Agenda 2026'!$M$2:$M$376,1)&gt;=7,CHAR(10)&amp;IFERROR(INDEX('Agenda 2026'!$B$2:$B$376,MATCH(DATE(2026,5,21)*10+7,'Agenda 2026'!$S$2:$S$376,0)),""),"")&amp;IF(COUNTIFS('Agenda 2026'!$Q$2:$Q$376,DATE(2026,5,21),'Agenda 2026'!$M$2:$M$376,1)&gt;=8,CHAR(10)&amp;IFERROR(INDEX('Agenda 2026'!$B$2:$B$376,MATCH(DATE(2026,5,21)*10+8,'Agenda 2026'!$S$2:$S$376,0)),""),"")&amp;IF(COUNTIFS('Agenda 2026'!$Q$2:$Q$376,DATE(2026,5,21),'Agenda 2026'!$M$2:$M$376,1)&gt;=9,CHAR(10)&amp;IFERROR(INDEX('Agenda 2026'!$B$2:$B$376,MATCH(DATE(2026,5,21)*10+9,'Agenda 2026'!$S$2:$S$376,0)),""),"")&amp;IF(COUNTIFS('Agenda 2026'!$Q$2:$Q$376,DATE(2026,5,21),'Agenda 2026'!$M$2:$M$376,1)&gt;=10,CHAR(10)&amp;IFERROR(INDEX('Agenda 2026'!$B$2:$B$376,MATCH(DATE(2026,5,21)*10+10,'Agenda 2026'!$S$2:$S$376,0)),""),"")&amp;IF(COUNTIFS('Agenda 2026'!$Q$2:$Q$376,DATE(2026,5,21),'Agenda 2026'!$M$2:$M$376,1)&gt;=11,CHAR(10)&amp;IFERROR(INDEX('Agenda 2026'!$B$2:$B$376,MATCH(DATE(2026,5,21)*10+11,'Agenda 2026'!$S$2:$S$376,0)),""),"")&amp;IF(COUNTIFS('Agenda 2026'!$Q$2:$Q$376,DATE(2026,5,21),'Agenda 2026'!$M$2:$M$376,1)&gt;=12,CHAR(10)&amp;IFERROR(INDEX('Agenda 2026'!$B$2:$B$376,MATCH(DATE(2026,5,21)*10+12,'Agenda 2026'!$S$2:$S$376,0)),""),"")</f>
        <v>21</v>
      </c>
      <c r="F50" s="58" t="str">
        <f t="array" ref="F50">22&amp;IF(COUNTIFS('Agenda 2026'!$Q$2:$Q$376,DATE(2026,5,22),'Agenda 2026'!$M$2:$M$376,1)&gt;=1,CHAR(10)&amp;IFERROR(INDEX('Agenda 2026'!$B$2:$B$376,MATCH(DATE(2026,5,22)*10+1,'Agenda 2026'!$S$2:$S$376,0)),""),"")&amp;IF(COUNTIFS('Agenda 2026'!$Q$2:$Q$376,DATE(2026,5,22),'Agenda 2026'!$M$2:$M$376,1)&gt;=2,CHAR(10)&amp;IFERROR(INDEX('Agenda 2026'!$B$2:$B$376,MATCH(DATE(2026,5,22)*10+2,'Agenda 2026'!$S$2:$S$376,0)),""),"")&amp;IF(COUNTIFS('Agenda 2026'!$Q$2:$Q$376,DATE(2026,5,22),'Agenda 2026'!$M$2:$M$376,1)&gt;=3,CHAR(10)&amp;IFERROR(INDEX('Agenda 2026'!$B$2:$B$376,MATCH(DATE(2026,5,22)*10+3,'Agenda 2026'!$S$2:$S$376,0)),""),"")&amp;IF(COUNTIFS('Agenda 2026'!$Q$2:$Q$376,DATE(2026,5,22),'Agenda 2026'!$M$2:$M$376,1)&gt;=4,CHAR(10)&amp;IFERROR(INDEX('Agenda 2026'!$B$2:$B$376,MATCH(DATE(2026,5,22)*10+4,'Agenda 2026'!$S$2:$S$376,0)),""),"")&amp;IF(COUNTIFS('Agenda 2026'!$Q$2:$Q$376,DATE(2026,5,22),'Agenda 2026'!$M$2:$M$376,1)&gt;=5,CHAR(10)&amp;IFERROR(INDEX('Agenda 2026'!$B$2:$B$376,MATCH(DATE(2026,5,22)*10+5,'Agenda 2026'!$S$2:$S$376,0)),""),"")&amp;IF(COUNTIFS('Agenda 2026'!$Q$2:$Q$376,DATE(2026,5,22),'Agenda 2026'!$M$2:$M$376,1)&gt;=6,CHAR(10)&amp;IFERROR(INDEX('Agenda 2026'!$B$2:$B$376,MATCH(DATE(2026,5,22)*10+6,'Agenda 2026'!$S$2:$S$376,0)),""),"")&amp;IF(COUNTIFS('Agenda 2026'!$Q$2:$Q$376,DATE(2026,5,22),'Agenda 2026'!$M$2:$M$376,1)&gt;=7,CHAR(10)&amp;IFERROR(INDEX('Agenda 2026'!$B$2:$B$376,MATCH(DATE(2026,5,22)*10+7,'Agenda 2026'!$S$2:$S$376,0)),""),"")&amp;IF(COUNTIFS('Agenda 2026'!$Q$2:$Q$376,DATE(2026,5,22),'Agenda 2026'!$M$2:$M$376,1)&gt;=8,CHAR(10)&amp;IFERROR(INDEX('Agenda 2026'!$B$2:$B$376,MATCH(DATE(2026,5,22)*10+8,'Agenda 2026'!$S$2:$S$376,0)),""),"")&amp;IF(COUNTIFS('Agenda 2026'!$Q$2:$Q$376,DATE(2026,5,22),'Agenda 2026'!$M$2:$M$376,1)&gt;=9,CHAR(10)&amp;IFERROR(INDEX('Agenda 2026'!$B$2:$B$376,MATCH(DATE(2026,5,22)*10+9,'Agenda 2026'!$S$2:$S$376,0)),""),"")&amp;IF(COUNTIFS('Agenda 2026'!$Q$2:$Q$376,DATE(2026,5,22),'Agenda 2026'!$M$2:$M$376,1)&gt;=10,CHAR(10)&amp;IFERROR(INDEX('Agenda 2026'!$B$2:$B$376,MATCH(DATE(2026,5,22)*10+10,'Agenda 2026'!$S$2:$S$376,0)),""),"")&amp;IF(COUNTIFS('Agenda 2026'!$Q$2:$Q$376,DATE(2026,5,22),'Agenda 2026'!$M$2:$M$376,1)&gt;=11,CHAR(10)&amp;IFERROR(INDEX('Agenda 2026'!$B$2:$B$376,MATCH(DATE(2026,5,22)*10+11,'Agenda 2026'!$S$2:$S$376,0)),""),"")&amp;IF(COUNTIFS('Agenda 2026'!$Q$2:$Q$376,DATE(2026,5,22),'Agenda 2026'!$M$2:$M$376,1)&gt;=12,CHAR(10)&amp;IFERROR(INDEX('Agenda 2026'!$B$2:$B$376,MATCH(DATE(2026,5,22)*10+12,'Agenda 2026'!$S$2:$S$376,0)),""),"")</f>
        <v>22</v>
      </c>
      <c r="G50" s="58" t="str">
        <f t="array" ref="G50">23&amp;IF(COUNTIFS('Agenda 2026'!$Q$2:$Q$376,DATE(2026,5,23),'Agenda 2026'!$M$2:$M$376,1)&gt;=1,CHAR(10)&amp;IFERROR(INDEX('Agenda 2026'!$B$2:$B$376,MATCH(DATE(2026,5,23)*10+1,'Agenda 2026'!$S$2:$S$376,0)),""),"")&amp;IF(COUNTIFS('Agenda 2026'!$Q$2:$Q$376,DATE(2026,5,23),'Agenda 2026'!$M$2:$M$376,1)&gt;=2,CHAR(10)&amp;IFERROR(INDEX('Agenda 2026'!$B$2:$B$376,MATCH(DATE(2026,5,23)*10+2,'Agenda 2026'!$S$2:$S$376,0)),""),"")&amp;IF(COUNTIFS('Agenda 2026'!$Q$2:$Q$376,DATE(2026,5,23),'Agenda 2026'!$M$2:$M$376,1)&gt;=3,CHAR(10)&amp;IFERROR(INDEX('Agenda 2026'!$B$2:$B$376,MATCH(DATE(2026,5,23)*10+3,'Agenda 2026'!$S$2:$S$376,0)),""),"")&amp;IF(COUNTIFS('Agenda 2026'!$Q$2:$Q$376,DATE(2026,5,23),'Agenda 2026'!$M$2:$M$376,1)&gt;=4,CHAR(10)&amp;IFERROR(INDEX('Agenda 2026'!$B$2:$B$376,MATCH(DATE(2026,5,23)*10+4,'Agenda 2026'!$S$2:$S$376,0)),""),"")&amp;IF(COUNTIFS('Agenda 2026'!$Q$2:$Q$376,DATE(2026,5,23),'Agenda 2026'!$M$2:$M$376,1)&gt;=5,CHAR(10)&amp;IFERROR(INDEX('Agenda 2026'!$B$2:$B$376,MATCH(DATE(2026,5,23)*10+5,'Agenda 2026'!$S$2:$S$376,0)),""),"")&amp;IF(COUNTIFS('Agenda 2026'!$Q$2:$Q$376,DATE(2026,5,23),'Agenda 2026'!$M$2:$M$376,1)&gt;=6,CHAR(10)&amp;IFERROR(INDEX('Agenda 2026'!$B$2:$B$376,MATCH(DATE(2026,5,23)*10+6,'Agenda 2026'!$S$2:$S$376,0)),""),"")&amp;IF(COUNTIFS('Agenda 2026'!$Q$2:$Q$376,DATE(2026,5,23),'Agenda 2026'!$M$2:$M$376,1)&gt;=7,CHAR(10)&amp;IFERROR(INDEX('Agenda 2026'!$B$2:$B$376,MATCH(DATE(2026,5,23)*10+7,'Agenda 2026'!$S$2:$S$376,0)),""),"")&amp;IF(COUNTIFS('Agenda 2026'!$Q$2:$Q$376,DATE(2026,5,23),'Agenda 2026'!$M$2:$M$376,1)&gt;=8,CHAR(10)&amp;IFERROR(INDEX('Agenda 2026'!$B$2:$B$376,MATCH(DATE(2026,5,23)*10+8,'Agenda 2026'!$S$2:$S$376,0)),""),"")&amp;IF(COUNTIFS('Agenda 2026'!$Q$2:$Q$376,DATE(2026,5,23),'Agenda 2026'!$M$2:$M$376,1)&gt;=9,CHAR(10)&amp;IFERROR(INDEX('Agenda 2026'!$B$2:$B$376,MATCH(DATE(2026,5,23)*10+9,'Agenda 2026'!$S$2:$S$376,0)),""),"")&amp;IF(COUNTIFS('Agenda 2026'!$Q$2:$Q$376,DATE(2026,5,23),'Agenda 2026'!$M$2:$M$376,1)&gt;=10,CHAR(10)&amp;IFERROR(INDEX('Agenda 2026'!$B$2:$B$376,MATCH(DATE(2026,5,23)*10+10,'Agenda 2026'!$S$2:$S$376,0)),""),"")&amp;IF(COUNTIFS('Agenda 2026'!$Q$2:$Q$376,DATE(2026,5,23),'Agenda 2026'!$M$2:$M$376,1)&gt;=11,CHAR(10)&amp;IFERROR(INDEX('Agenda 2026'!$B$2:$B$376,MATCH(DATE(2026,5,23)*10+11,'Agenda 2026'!$S$2:$S$376,0)),""),"")&amp;IF(COUNTIFS('Agenda 2026'!$Q$2:$Q$376,DATE(2026,5,23),'Agenda 2026'!$M$2:$M$376,1)&gt;=12,CHAR(10)&amp;IFERROR(INDEX('Agenda 2026'!$B$2:$B$376,MATCH(DATE(2026,5,23)*10+12,'Agenda 2026'!$S$2:$S$376,0)),""),"")</f>
        <v>23</v>
      </c>
      <c r="H50" s="58" t="str">
        <f t="array" ref="H50">24&amp;IF(COUNTIFS('Agenda 2026'!$Q$2:$Q$376,DATE(2026,5,24),'Agenda 2026'!$M$2:$M$376,1)&gt;=1,CHAR(10)&amp;IFERROR(INDEX('Agenda 2026'!$B$2:$B$376,MATCH(DATE(2026,5,24)*10+1,'Agenda 2026'!$S$2:$S$376,0)),""),"")&amp;IF(COUNTIFS('Agenda 2026'!$Q$2:$Q$376,DATE(2026,5,24),'Agenda 2026'!$M$2:$M$376,1)&gt;=2,CHAR(10)&amp;IFERROR(INDEX('Agenda 2026'!$B$2:$B$376,MATCH(DATE(2026,5,24)*10+2,'Agenda 2026'!$S$2:$S$376,0)),""),"")&amp;IF(COUNTIFS('Agenda 2026'!$Q$2:$Q$376,DATE(2026,5,24),'Agenda 2026'!$M$2:$M$376,1)&gt;=3,CHAR(10)&amp;IFERROR(INDEX('Agenda 2026'!$B$2:$B$376,MATCH(DATE(2026,5,24)*10+3,'Agenda 2026'!$S$2:$S$376,0)),""),"")&amp;IF(COUNTIFS('Agenda 2026'!$Q$2:$Q$376,DATE(2026,5,24),'Agenda 2026'!$M$2:$M$376,1)&gt;=4,CHAR(10)&amp;IFERROR(INDEX('Agenda 2026'!$B$2:$B$376,MATCH(DATE(2026,5,24)*10+4,'Agenda 2026'!$S$2:$S$376,0)),""),"")&amp;IF(COUNTIFS('Agenda 2026'!$Q$2:$Q$376,DATE(2026,5,24),'Agenda 2026'!$M$2:$M$376,1)&gt;=5,CHAR(10)&amp;IFERROR(INDEX('Agenda 2026'!$B$2:$B$376,MATCH(DATE(2026,5,24)*10+5,'Agenda 2026'!$S$2:$S$376,0)),""),"")&amp;IF(COUNTIFS('Agenda 2026'!$Q$2:$Q$376,DATE(2026,5,24),'Agenda 2026'!$M$2:$M$376,1)&gt;=6,CHAR(10)&amp;IFERROR(INDEX('Agenda 2026'!$B$2:$B$376,MATCH(DATE(2026,5,24)*10+6,'Agenda 2026'!$S$2:$S$376,0)),""),"")&amp;IF(COUNTIFS('Agenda 2026'!$Q$2:$Q$376,DATE(2026,5,24),'Agenda 2026'!$M$2:$M$376,1)&gt;=7,CHAR(10)&amp;IFERROR(INDEX('Agenda 2026'!$B$2:$B$376,MATCH(DATE(2026,5,24)*10+7,'Agenda 2026'!$S$2:$S$376,0)),""),"")&amp;IF(COUNTIFS('Agenda 2026'!$Q$2:$Q$376,DATE(2026,5,24),'Agenda 2026'!$M$2:$M$376,1)&gt;=8,CHAR(10)&amp;IFERROR(INDEX('Agenda 2026'!$B$2:$B$376,MATCH(DATE(2026,5,24)*10+8,'Agenda 2026'!$S$2:$S$376,0)),""),"")&amp;IF(COUNTIFS('Agenda 2026'!$Q$2:$Q$376,DATE(2026,5,24),'Agenda 2026'!$M$2:$M$376,1)&gt;=9,CHAR(10)&amp;IFERROR(INDEX('Agenda 2026'!$B$2:$B$376,MATCH(DATE(2026,5,24)*10+9,'Agenda 2026'!$S$2:$S$376,0)),""),"")&amp;IF(COUNTIFS('Agenda 2026'!$Q$2:$Q$376,DATE(2026,5,24),'Agenda 2026'!$M$2:$M$376,1)&gt;=10,CHAR(10)&amp;IFERROR(INDEX('Agenda 2026'!$B$2:$B$376,MATCH(DATE(2026,5,24)*10+10,'Agenda 2026'!$S$2:$S$376,0)),""),"")&amp;IF(COUNTIFS('Agenda 2026'!$Q$2:$Q$376,DATE(2026,5,24),'Agenda 2026'!$M$2:$M$376,1)&gt;=11,CHAR(10)&amp;IFERROR(INDEX('Agenda 2026'!$B$2:$B$376,MATCH(DATE(2026,5,24)*10+11,'Agenda 2026'!$S$2:$S$376,0)),""),"")&amp;IF(COUNTIFS('Agenda 2026'!$Q$2:$Q$376,DATE(2026,5,24),'Agenda 2026'!$M$2:$M$376,1)&gt;=12,CHAR(10)&amp;IFERROR(INDEX('Agenda 2026'!$B$2:$B$376,MATCH(DATE(2026,5,24)*10+12,'Agenda 2026'!$S$2:$S$376,0)),""),"")</f>
        <v>24</v>
      </c>
    </row>
    <row r="51" spans="1:8" ht="45.75" customHeight="1" x14ac:dyDescent="0.35">
      <c r="A51" s="17"/>
      <c r="B51" s="58" t="str">
        <f t="array" ref="B51">25&amp;IF(COUNTIFS('Agenda 2026'!$Q$2:$Q$376,DATE(2026,5,25),'Agenda 2026'!$M$2:$M$376,1)&gt;=1,CHAR(10)&amp;IFERROR(INDEX('Agenda 2026'!$B$2:$B$376,MATCH(DATE(2026,5,25)*10+1,'Agenda 2026'!$S$2:$S$376,0)),""),"")&amp;IF(COUNTIFS('Agenda 2026'!$Q$2:$Q$376,DATE(2026,5,25),'Agenda 2026'!$M$2:$M$376,1)&gt;=2,CHAR(10)&amp;IFERROR(INDEX('Agenda 2026'!$B$2:$B$376,MATCH(DATE(2026,5,25)*10+2,'Agenda 2026'!$S$2:$S$376,0)),""),"")&amp;IF(COUNTIFS('Agenda 2026'!$Q$2:$Q$376,DATE(2026,5,25),'Agenda 2026'!$M$2:$M$376,1)&gt;=3,CHAR(10)&amp;IFERROR(INDEX('Agenda 2026'!$B$2:$B$376,MATCH(DATE(2026,5,25)*10+3,'Agenda 2026'!$S$2:$S$376,0)),""),"")&amp;IF(COUNTIFS('Agenda 2026'!$Q$2:$Q$376,DATE(2026,5,25),'Agenda 2026'!$M$2:$M$376,1)&gt;=4,CHAR(10)&amp;IFERROR(INDEX('Agenda 2026'!$B$2:$B$376,MATCH(DATE(2026,5,25)*10+4,'Agenda 2026'!$S$2:$S$376,0)),""),"")&amp;IF(COUNTIFS('Agenda 2026'!$Q$2:$Q$376,DATE(2026,5,25),'Agenda 2026'!$M$2:$M$376,1)&gt;=5,CHAR(10)&amp;IFERROR(INDEX('Agenda 2026'!$B$2:$B$376,MATCH(DATE(2026,5,25)*10+5,'Agenda 2026'!$S$2:$S$376,0)),""),"")&amp;IF(COUNTIFS('Agenda 2026'!$Q$2:$Q$376,DATE(2026,5,25),'Agenda 2026'!$M$2:$M$376,1)&gt;=6,CHAR(10)&amp;IFERROR(INDEX('Agenda 2026'!$B$2:$B$376,MATCH(DATE(2026,5,25)*10+6,'Agenda 2026'!$S$2:$S$376,0)),""),"")&amp;IF(COUNTIFS('Agenda 2026'!$Q$2:$Q$376,DATE(2026,5,25),'Agenda 2026'!$M$2:$M$376,1)&gt;=7,CHAR(10)&amp;IFERROR(INDEX('Agenda 2026'!$B$2:$B$376,MATCH(DATE(2026,5,25)*10+7,'Agenda 2026'!$S$2:$S$376,0)),""),"")&amp;IF(COUNTIFS('Agenda 2026'!$Q$2:$Q$376,DATE(2026,5,25),'Agenda 2026'!$M$2:$M$376,1)&gt;=8,CHAR(10)&amp;IFERROR(INDEX('Agenda 2026'!$B$2:$B$376,MATCH(DATE(2026,5,25)*10+8,'Agenda 2026'!$S$2:$S$376,0)),""),"")&amp;IF(COUNTIFS('Agenda 2026'!$Q$2:$Q$376,DATE(2026,5,25),'Agenda 2026'!$M$2:$M$376,1)&gt;=9,CHAR(10)&amp;IFERROR(INDEX('Agenda 2026'!$B$2:$B$376,MATCH(DATE(2026,5,25)*10+9,'Agenda 2026'!$S$2:$S$376,0)),""),"")&amp;IF(COUNTIFS('Agenda 2026'!$Q$2:$Q$376,DATE(2026,5,25),'Agenda 2026'!$M$2:$M$376,1)&gt;=10,CHAR(10)&amp;IFERROR(INDEX('Agenda 2026'!$B$2:$B$376,MATCH(DATE(2026,5,25)*10+10,'Agenda 2026'!$S$2:$S$376,0)),""),"")&amp;IF(COUNTIFS('Agenda 2026'!$Q$2:$Q$376,DATE(2026,5,25),'Agenda 2026'!$M$2:$M$376,1)&gt;=11,CHAR(10)&amp;IFERROR(INDEX('Agenda 2026'!$B$2:$B$376,MATCH(DATE(2026,5,25)*10+11,'Agenda 2026'!$S$2:$S$376,0)),""),"")&amp;IF(COUNTIFS('Agenda 2026'!$Q$2:$Q$376,DATE(2026,5,25),'Agenda 2026'!$M$2:$M$376,1)&gt;=12,CHAR(10)&amp;IFERROR(INDEX('Agenda 2026'!$B$2:$B$376,MATCH(DATE(2026,5,25)*10+12,'Agenda 2026'!$S$2:$S$376,0)),""),"")</f>
        <v>25</v>
      </c>
      <c r="C51" s="58" t="str">
        <f t="array" ref="C51">26&amp;IF(COUNTIFS('Agenda 2026'!$Q$2:$Q$376,DATE(2026,5,26),'Agenda 2026'!$M$2:$M$376,1)&gt;=1,CHAR(10)&amp;IFERROR(INDEX('Agenda 2026'!$B$2:$B$376,MATCH(DATE(2026,5,26)*10+1,'Agenda 2026'!$S$2:$S$376,0)),""),"")&amp;IF(COUNTIFS('Agenda 2026'!$Q$2:$Q$376,DATE(2026,5,26),'Agenda 2026'!$M$2:$M$376,1)&gt;=2,CHAR(10)&amp;IFERROR(INDEX('Agenda 2026'!$B$2:$B$376,MATCH(DATE(2026,5,26)*10+2,'Agenda 2026'!$S$2:$S$376,0)),""),"")&amp;IF(COUNTIFS('Agenda 2026'!$Q$2:$Q$376,DATE(2026,5,26),'Agenda 2026'!$M$2:$M$376,1)&gt;=3,CHAR(10)&amp;IFERROR(INDEX('Agenda 2026'!$B$2:$B$376,MATCH(DATE(2026,5,26)*10+3,'Agenda 2026'!$S$2:$S$376,0)),""),"")&amp;IF(COUNTIFS('Agenda 2026'!$Q$2:$Q$376,DATE(2026,5,26),'Agenda 2026'!$M$2:$M$376,1)&gt;=4,CHAR(10)&amp;IFERROR(INDEX('Agenda 2026'!$B$2:$B$376,MATCH(DATE(2026,5,26)*10+4,'Agenda 2026'!$S$2:$S$376,0)),""),"")&amp;IF(COUNTIFS('Agenda 2026'!$Q$2:$Q$376,DATE(2026,5,26),'Agenda 2026'!$M$2:$M$376,1)&gt;=5,CHAR(10)&amp;IFERROR(INDEX('Agenda 2026'!$B$2:$B$376,MATCH(DATE(2026,5,26)*10+5,'Agenda 2026'!$S$2:$S$376,0)),""),"")&amp;IF(COUNTIFS('Agenda 2026'!$Q$2:$Q$376,DATE(2026,5,26),'Agenda 2026'!$M$2:$M$376,1)&gt;=6,CHAR(10)&amp;IFERROR(INDEX('Agenda 2026'!$B$2:$B$376,MATCH(DATE(2026,5,26)*10+6,'Agenda 2026'!$S$2:$S$376,0)),""),"")&amp;IF(COUNTIFS('Agenda 2026'!$Q$2:$Q$376,DATE(2026,5,26),'Agenda 2026'!$M$2:$M$376,1)&gt;=7,CHAR(10)&amp;IFERROR(INDEX('Agenda 2026'!$B$2:$B$376,MATCH(DATE(2026,5,26)*10+7,'Agenda 2026'!$S$2:$S$376,0)),""),"")&amp;IF(COUNTIFS('Agenda 2026'!$Q$2:$Q$376,DATE(2026,5,26),'Agenda 2026'!$M$2:$M$376,1)&gt;=8,CHAR(10)&amp;IFERROR(INDEX('Agenda 2026'!$B$2:$B$376,MATCH(DATE(2026,5,26)*10+8,'Agenda 2026'!$S$2:$S$376,0)),""),"")&amp;IF(COUNTIFS('Agenda 2026'!$Q$2:$Q$376,DATE(2026,5,26),'Agenda 2026'!$M$2:$M$376,1)&gt;=9,CHAR(10)&amp;IFERROR(INDEX('Agenda 2026'!$B$2:$B$376,MATCH(DATE(2026,5,26)*10+9,'Agenda 2026'!$S$2:$S$376,0)),""),"")&amp;IF(COUNTIFS('Agenda 2026'!$Q$2:$Q$376,DATE(2026,5,26),'Agenda 2026'!$M$2:$M$376,1)&gt;=10,CHAR(10)&amp;IFERROR(INDEX('Agenda 2026'!$B$2:$B$376,MATCH(DATE(2026,5,26)*10+10,'Agenda 2026'!$S$2:$S$376,0)),""),"")&amp;IF(COUNTIFS('Agenda 2026'!$Q$2:$Q$376,DATE(2026,5,26),'Agenda 2026'!$M$2:$M$376,1)&gt;=11,CHAR(10)&amp;IFERROR(INDEX('Agenda 2026'!$B$2:$B$376,MATCH(DATE(2026,5,26)*10+11,'Agenda 2026'!$S$2:$S$376,0)),""),"")&amp;IF(COUNTIFS('Agenda 2026'!$Q$2:$Q$376,DATE(2026,5,26),'Agenda 2026'!$M$2:$M$376,1)&gt;=12,CHAR(10)&amp;IFERROR(INDEX('Agenda 2026'!$B$2:$B$376,MATCH(DATE(2026,5,26)*10+12,'Agenda 2026'!$S$2:$S$376,0)),""),"")</f>
        <v>26</v>
      </c>
      <c r="D51" s="58" t="str">
        <f t="array" ref="D51">27&amp;IF(COUNTIFS('Agenda 2026'!$Q$2:$Q$376,DATE(2026,5,27),'Agenda 2026'!$M$2:$M$376,1)&gt;=1,CHAR(10)&amp;IFERROR(INDEX('Agenda 2026'!$B$2:$B$376,MATCH(DATE(2026,5,27)*10+1,'Agenda 2026'!$S$2:$S$376,0)),""),"")&amp;IF(COUNTIFS('Agenda 2026'!$Q$2:$Q$376,DATE(2026,5,27),'Agenda 2026'!$M$2:$M$376,1)&gt;=2,CHAR(10)&amp;IFERROR(INDEX('Agenda 2026'!$B$2:$B$376,MATCH(DATE(2026,5,27)*10+2,'Agenda 2026'!$S$2:$S$376,0)),""),"")&amp;IF(COUNTIFS('Agenda 2026'!$Q$2:$Q$376,DATE(2026,5,27),'Agenda 2026'!$M$2:$M$376,1)&gt;=3,CHAR(10)&amp;IFERROR(INDEX('Agenda 2026'!$B$2:$B$376,MATCH(DATE(2026,5,27)*10+3,'Agenda 2026'!$S$2:$S$376,0)),""),"")&amp;IF(COUNTIFS('Agenda 2026'!$Q$2:$Q$376,DATE(2026,5,27),'Agenda 2026'!$M$2:$M$376,1)&gt;=4,CHAR(10)&amp;IFERROR(INDEX('Agenda 2026'!$B$2:$B$376,MATCH(DATE(2026,5,27)*10+4,'Agenda 2026'!$S$2:$S$376,0)),""),"")&amp;IF(COUNTIFS('Agenda 2026'!$Q$2:$Q$376,DATE(2026,5,27),'Agenda 2026'!$M$2:$M$376,1)&gt;=5,CHAR(10)&amp;IFERROR(INDEX('Agenda 2026'!$B$2:$B$376,MATCH(DATE(2026,5,27)*10+5,'Agenda 2026'!$S$2:$S$376,0)),""),"")&amp;IF(COUNTIFS('Agenda 2026'!$Q$2:$Q$376,DATE(2026,5,27),'Agenda 2026'!$M$2:$M$376,1)&gt;=6,CHAR(10)&amp;IFERROR(INDEX('Agenda 2026'!$B$2:$B$376,MATCH(DATE(2026,5,27)*10+6,'Agenda 2026'!$S$2:$S$376,0)),""),"")&amp;IF(COUNTIFS('Agenda 2026'!$Q$2:$Q$376,DATE(2026,5,27),'Agenda 2026'!$M$2:$M$376,1)&gt;=7,CHAR(10)&amp;IFERROR(INDEX('Agenda 2026'!$B$2:$B$376,MATCH(DATE(2026,5,27)*10+7,'Agenda 2026'!$S$2:$S$376,0)),""),"")&amp;IF(COUNTIFS('Agenda 2026'!$Q$2:$Q$376,DATE(2026,5,27),'Agenda 2026'!$M$2:$M$376,1)&gt;=8,CHAR(10)&amp;IFERROR(INDEX('Agenda 2026'!$B$2:$B$376,MATCH(DATE(2026,5,27)*10+8,'Agenda 2026'!$S$2:$S$376,0)),""),"")&amp;IF(COUNTIFS('Agenda 2026'!$Q$2:$Q$376,DATE(2026,5,27),'Agenda 2026'!$M$2:$M$376,1)&gt;=9,CHAR(10)&amp;IFERROR(INDEX('Agenda 2026'!$B$2:$B$376,MATCH(DATE(2026,5,27)*10+9,'Agenda 2026'!$S$2:$S$376,0)),""),"")&amp;IF(COUNTIFS('Agenda 2026'!$Q$2:$Q$376,DATE(2026,5,27),'Agenda 2026'!$M$2:$M$376,1)&gt;=10,CHAR(10)&amp;IFERROR(INDEX('Agenda 2026'!$B$2:$B$376,MATCH(DATE(2026,5,27)*10+10,'Agenda 2026'!$S$2:$S$376,0)),""),"")&amp;IF(COUNTIFS('Agenda 2026'!$Q$2:$Q$376,DATE(2026,5,27),'Agenda 2026'!$M$2:$M$376,1)&gt;=11,CHAR(10)&amp;IFERROR(INDEX('Agenda 2026'!$B$2:$B$376,MATCH(DATE(2026,5,27)*10+11,'Agenda 2026'!$S$2:$S$376,0)),""),"")&amp;IF(COUNTIFS('Agenda 2026'!$Q$2:$Q$376,DATE(2026,5,27),'Agenda 2026'!$M$2:$M$376,1)&gt;=12,CHAR(10)&amp;IFERROR(INDEX('Agenda 2026'!$B$2:$B$376,MATCH(DATE(2026,5,27)*10+12,'Agenda 2026'!$S$2:$S$376,0)),""),"")</f>
        <v>27</v>
      </c>
      <c r="E51" s="58" t="str">
        <f t="array" ref="E51">28&amp;IF(COUNTIFS('Agenda 2026'!$Q$2:$Q$376,DATE(2026,5,28),'Agenda 2026'!$M$2:$M$376,1)&gt;=1,CHAR(10)&amp;IFERROR(INDEX('Agenda 2026'!$B$2:$B$376,MATCH(DATE(2026,5,28)*10+1,'Agenda 2026'!$S$2:$S$376,0)),""),"")&amp;IF(COUNTIFS('Agenda 2026'!$Q$2:$Q$376,DATE(2026,5,28),'Agenda 2026'!$M$2:$M$376,1)&gt;=2,CHAR(10)&amp;IFERROR(INDEX('Agenda 2026'!$B$2:$B$376,MATCH(DATE(2026,5,28)*10+2,'Agenda 2026'!$S$2:$S$376,0)),""),"")&amp;IF(COUNTIFS('Agenda 2026'!$Q$2:$Q$376,DATE(2026,5,28),'Agenda 2026'!$M$2:$M$376,1)&gt;=3,CHAR(10)&amp;IFERROR(INDEX('Agenda 2026'!$B$2:$B$376,MATCH(DATE(2026,5,28)*10+3,'Agenda 2026'!$S$2:$S$376,0)),""),"")&amp;IF(COUNTIFS('Agenda 2026'!$Q$2:$Q$376,DATE(2026,5,28),'Agenda 2026'!$M$2:$M$376,1)&gt;=4,CHAR(10)&amp;IFERROR(INDEX('Agenda 2026'!$B$2:$B$376,MATCH(DATE(2026,5,28)*10+4,'Agenda 2026'!$S$2:$S$376,0)),""),"")&amp;IF(COUNTIFS('Agenda 2026'!$Q$2:$Q$376,DATE(2026,5,28),'Agenda 2026'!$M$2:$M$376,1)&gt;=5,CHAR(10)&amp;IFERROR(INDEX('Agenda 2026'!$B$2:$B$376,MATCH(DATE(2026,5,28)*10+5,'Agenda 2026'!$S$2:$S$376,0)),""),"")&amp;IF(COUNTIFS('Agenda 2026'!$Q$2:$Q$376,DATE(2026,5,28),'Agenda 2026'!$M$2:$M$376,1)&gt;=6,CHAR(10)&amp;IFERROR(INDEX('Agenda 2026'!$B$2:$B$376,MATCH(DATE(2026,5,28)*10+6,'Agenda 2026'!$S$2:$S$376,0)),""),"")&amp;IF(COUNTIFS('Agenda 2026'!$Q$2:$Q$376,DATE(2026,5,28),'Agenda 2026'!$M$2:$M$376,1)&gt;=7,CHAR(10)&amp;IFERROR(INDEX('Agenda 2026'!$B$2:$B$376,MATCH(DATE(2026,5,28)*10+7,'Agenda 2026'!$S$2:$S$376,0)),""),"")&amp;IF(COUNTIFS('Agenda 2026'!$Q$2:$Q$376,DATE(2026,5,28),'Agenda 2026'!$M$2:$M$376,1)&gt;=8,CHAR(10)&amp;IFERROR(INDEX('Agenda 2026'!$B$2:$B$376,MATCH(DATE(2026,5,28)*10+8,'Agenda 2026'!$S$2:$S$376,0)),""),"")&amp;IF(COUNTIFS('Agenda 2026'!$Q$2:$Q$376,DATE(2026,5,28),'Agenda 2026'!$M$2:$M$376,1)&gt;=9,CHAR(10)&amp;IFERROR(INDEX('Agenda 2026'!$B$2:$B$376,MATCH(DATE(2026,5,28)*10+9,'Agenda 2026'!$S$2:$S$376,0)),""),"")&amp;IF(COUNTIFS('Agenda 2026'!$Q$2:$Q$376,DATE(2026,5,28),'Agenda 2026'!$M$2:$M$376,1)&gt;=10,CHAR(10)&amp;IFERROR(INDEX('Agenda 2026'!$B$2:$B$376,MATCH(DATE(2026,5,28)*10+10,'Agenda 2026'!$S$2:$S$376,0)),""),"")&amp;IF(COUNTIFS('Agenda 2026'!$Q$2:$Q$376,DATE(2026,5,28),'Agenda 2026'!$M$2:$M$376,1)&gt;=11,CHAR(10)&amp;IFERROR(INDEX('Agenda 2026'!$B$2:$B$376,MATCH(DATE(2026,5,28)*10+11,'Agenda 2026'!$S$2:$S$376,0)),""),"")&amp;IF(COUNTIFS('Agenda 2026'!$Q$2:$Q$376,DATE(2026,5,28),'Agenda 2026'!$M$2:$M$376,1)&gt;=12,CHAR(10)&amp;IFERROR(INDEX('Agenda 2026'!$B$2:$B$376,MATCH(DATE(2026,5,28)*10+12,'Agenda 2026'!$S$2:$S$376,0)),""),"")</f>
        <v>28</v>
      </c>
      <c r="F51" s="58" t="str">
        <f t="array" ref="F51">29&amp;IF(COUNTIFS('Agenda 2026'!$Q$2:$Q$376,DATE(2026,5,29),'Agenda 2026'!$M$2:$M$376,1)&gt;=1,CHAR(10)&amp;IFERROR(INDEX('Agenda 2026'!$B$2:$B$376,MATCH(DATE(2026,5,29)*10+1,'Agenda 2026'!$S$2:$S$376,0)),""),"")&amp;IF(COUNTIFS('Agenda 2026'!$Q$2:$Q$376,DATE(2026,5,29),'Agenda 2026'!$M$2:$M$376,1)&gt;=2,CHAR(10)&amp;IFERROR(INDEX('Agenda 2026'!$B$2:$B$376,MATCH(DATE(2026,5,29)*10+2,'Agenda 2026'!$S$2:$S$376,0)),""),"")&amp;IF(COUNTIFS('Agenda 2026'!$Q$2:$Q$376,DATE(2026,5,29),'Agenda 2026'!$M$2:$M$376,1)&gt;=3,CHAR(10)&amp;IFERROR(INDEX('Agenda 2026'!$B$2:$B$376,MATCH(DATE(2026,5,29)*10+3,'Agenda 2026'!$S$2:$S$376,0)),""),"")&amp;IF(COUNTIFS('Agenda 2026'!$Q$2:$Q$376,DATE(2026,5,29),'Agenda 2026'!$M$2:$M$376,1)&gt;=4,CHAR(10)&amp;IFERROR(INDEX('Agenda 2026'!$B$2:$B$376,MATCH(DATE(2026,5,29)*10+4,'Agenda 2026'!$S$2:$S$376,0)),""),"")&amp;IF(COUNTIFS('Agenda 2026'!$Q$2:$Q$376,DATE(2026,5,29),'Agenda 2026'!$M$2:$M$376,1)&gt;=5,CHAR(10)&amp;IFERROR(INDEX('Agenda 2026'!$B$2:$B$376,MATCH(DATE(2026,5,29)*10+5,'Agenda 2026'!$S$2:$S$376,0)),""),"")&amp;IF(COUNTIFS('Agenda 2026'!$Q$2:$Q$376,DATE(2026,5,29),'Agenda 2026'!$M$2:$M$376,1)&gt;=6,CHAR(10)&amp;IFERROR(INDEX('Agenda 2026'!$B$2:$B$376,MATCH(DATE(2026,5,29)*10+6,'Agenda 2026'!$S$2:$S$376,0)),""),"")&amp;IF(COUNTIFS('Agenda 2026'!$Q$2:$Q$376,DATE(2026,5,29),'Agenda 2026'!$M$2:$M$376,1)&gt;=7,CHAR(10)&amp;IFERROR(INDEX('Agenda 2026'!$B$2:$B$376,MATCH(DATE(2026,5,29)*10+7,'Agenda 2026'!$S$2:$S$376,0)),""),"")&amp;IF(COUNTIFS('Agenda 2026'!$Q$2:$Q$376,DATE(2026,5,29),'Agenda 2026'!$M$2:$M$376,1)&gt;=8,CHAR(10)&amp;IFERROR(INDEX('Agenda 2026'!$B$2:$B$376,MATCH(DATE(2026,5,29)*10+8,'Agenda 2026'!$S$2:$S$376,0)),""),"")&amp;IF(COUNTIFS('Agenda 2026'!$Q$2:$Q$376,DATE(2026,5,29),'Agenda 2026'!$M$2:$M$376,1)&gt;=9,CHAR(10)&amp;IFERROR(INDEX('Agenda 2026'!$B$2:$B$376,MATCH(DATE(2026,5,29)*10+9,'Agenda 2026'!$S$2:$S$376,0)),""),"")&amp;IF(COUNTIFS('Agenda 2026'!$Q$2:$Q$376,DATE(2026,5,29),'Agenda 2026'!$M$2:$M$376,1)&gt;=10,CHAR(10)&amp;IFERROR(INDEX('Agenda 2026'!$B$2:$B$376,MATCH(DATE(2026,5,29)*10+10,'Agenda 2026'!$S$2:$S$376,0)),""),"")&amp;IF(COUNTIFS('Agenda 2026'!$Q$2:$Q$376,DATE(2026,5,29),'Agenda 2026'!$M$2:$M$376,1)&gt;=11,CHAR(10)&amp;IFERROR(INDEX('Agenda 2026'!$B$2:$B$376,MATCH(DATE(2026,5,29)*10+11,'Agenda 2026'!$S$2:$S$376,0)),""),"")&amp;IF(COUNTIFS('Agenda 2026'!$Q$2:$Q$376,DATE(2026,5,29),'Agenda 2026'!$M$2:$M$376,1)&gt;=12,CHAR(10)&amp;IFERROR(INDEX('Agenda 2026'!$B$2:$B$376,MATCH(DATE(2026,5,29)*10+12,'Agenda 2026'!$S$2:$S$376,0)),""),"")</f>
        <v>29</v>
      </c>
      <c r="G51" s="58" t="str">
        <f t="array" ref="G51">30&amp;IF(COUNTIFS('Agenda 2026'!$Q$2:$Q$376,DATE(2026,5,30),'Agenda 2026'!$M$2:$M$376,1)&gt;=1,CHAR(10)&amp;IFERROR(INDEX('Agenda 2026'!$B$2:$B$376,MATCH(DATE(2026,5,30)*10+1,'Agenda 2026'!$S$2:$S$376,0)),""),"")&amp;IF(COUNTIFS('Agenda 2026'!$Q$2:$Q$376,DATE(2026,5,30),'Agenda 2026'!$M$2:$M$376,1)&gt;=2,CHAR(10)&amp;IFERROR(INDEX('Agenda 2026'!$B$2:$B$376,MATCH(DATE(2026,5,30)*10+2,'Agenda 2026'!$S$2:$S$376,0)),""),"")&amp;IF(COUNTIFS('Agenda 2026'!$Q$2:$Q$376,DATE(2026,5,30),'Agenda 2026'!$M$2:$M$376,1)&gt;=3,CHAR(10)&amp;IFERROR(INDEX('Agenda 2026'!$B$2:$B$376,MATCH(DATE(2026,5,30)*10+3,'Agenda 2026'!$S$2:$S$376,0)),""),"")&amp;IF(COUNTIFS('Agenda 2026'!$Q$2:$Q$376,DATE(2026,5,30),'Agenda 2026'!$M$2:$M$376,1)&gt;=4,CHAR(10)&amp;IFERROR(INDEX('Agenda 2026'!$B$2:$B$376,MATCH(DATE(2026,5,30)*10+4,'Agenda 2026'!$S$2:$S$376,0)),""),"")&amp;IF(COUNTIFS('Agenda 2026'!$Q$2:$Q$376,DATE(2026,5,30),'Agenda 2026'!$M$2:$M$376,1)&gt;=5,CHAR(10)&amp;IFERROR(INDEX('Agenda 2026'!$B$2:$B$376,MATCH(DATE(2026,5,30)*10+5,'Agenda 2026'!$S$2:$S$376,0)),""),"")&amp;IF(COUNTIFS('Agenda 2026'!$Q$2:$Q$376,DATE(2026,5,30),'Agenda 2026'!$M$2:$M$376,1)&gt;=6,CHAR(10)&amp;IFERROR(INDEX('Agenda 2026'!$B$2:$B$376,MATCH(DATE(2026,5,30)*10+6,'Agenda 2026'!$S$2:$S$376,0)),""),"")&amp;IF(COUNTIFS('Agenda 2026'!$Q$2:$Q$376,DATE(2026,5,30),'Agenda 2026'!$M$2:$M$376,1)&gt;=7,CHAR(10)&amp;IFERROR(INDEX('Agenda 2026'!$B$2:$B$376,MATCH(DATE(2026,5,30)*10+7,'Agenda 2026'!$S$2:$S$376,0)),""),"")&amp;IF(COUNTIFS('Agenda 2026'!$Q$2:$Q$376,DATE(2026,5,30),'Agenda 2026'!$M$2:$M$376,1)&gt;=8,CHAR(10)&amp;IFERROR(INDEX('Agenda 2026'!$B$2:$B$376,MATCH(DATE(2026,5,30)*10+8,'Agenda 2026'!$S$2:$S$376,0)),""),"")&amp;IF(COUNTIFS('Agenda 2026'!$Q$2:$Q$376,DATE(2026,5,30),'Agenda 2026'!$M$2:$M$376,1)&gt;=9,CHAR(10)&amp;IFERROR(INDEX('Agenda 2026'!$B$2:$B$376,MATCH(DATE(2026,5,30)*10+9,'Agenda 2026'!$S$2:$S$376,0)),""),"")&amp;IF(COUNTIFS('Agenda 2026'!$Q$2:$Q$376,DATE(2026,5,30),'Agenda 2026'!$M$2:$M$376,1)&gt;=10,CHAR(10)&amp;IFERROR(INDEX('Agenda 2026'!$B$2:$B$376,MATCH(DATE(2026,5,30)*10+10,'Agenda 2026'!$S$2:$S$376,0)),""),"")&amp;IF(COUNTIFS('Agenda 2026'!$Q$2:$Q$376,DATE(2026,5,30),'Agenda 2026'!$M$2:$M$376,1)&gt;=11,CHAR(10)&amp;IFERROR(INDEX('Agenda 2026'!$B$2:$B$376,MATCH(DATE(2026,5,30)*10+11,'Agenda 2026'!$S$2:$S$376,0)),""),"")&amp;IF(COUNTIFS('Agenda 2026'!$Q$2:$Q$376,DATE(2026,5,30),'Agenda 2026'!$M$2:$M$376,1)&gt;=12,CHAR(10)&amp;IFERROR(INDEX('Agenda 2026'!$B$2:$B$376,MATCH(DATE(2026,5,30)*10+12,'Agenda 2026'!$S$2:$S$376,0)),""),"")</f>
        <v>30</v>
      </c>
      <c r="H51" s="58" t="str">
        <f t="array" ref="H51">31&amp;IF(COUNTIFS('Agenda 2026'!$Q$2:$Q$376,DATE(2026,5,31),'Agenda 2026'!$M$2:$M$376,1)&gt;=1,CHAR(10)&amp;IFERROR(INDEX('Agenda 2026'!$B$2:$B$376,MATCH(DATE(2026,5,31)*10+1,'Agenda 2026'!$S$2:$S$376,0)),""),"")&amp;IF(COUNTIFS('Agenda 2026'!$Q$2:$Q$376,DATE(2026,5,31),'Agenda 2026'!$M$2:$M$376,1)&gt;=2,CHAR(10)&amp;IFERROR(INDEX('Agenda 2026'!$B$2:$B$376,MATCH(DATE(2026,5,31)*10+2,'Agenda 2026'!$S$2:$S$376,0)),""),"")&amp;IF(COUNTIFS('Agenda 2026'!$Q$2:$Q$376,DATE(2026,5,31),'Agenda 2026'!$M$2:$M$376,1)&gt;=3,CHAR(10)&amp;IFERROR(INDEX('Agenda 2026'!$B$2:$B$376,MATCH(DATE(2026,5,31)*10+3,'Agenda 2026'!$S$2:$S$376,0)),""),"")&amp;IF(COUNTIFS('Agenda 2026'!$Q$2:$Q$376,DATE(2026,5,31),'Agenda 2026'!$M$2:$M$376,1)&gt;=4,CHAR(10)&amp;IFERROR(INDEX('Agenda 2026'!$B$2:$B$376,MATCH(DATE(2026,5,31)*10+4,'Agenda 2026'!$S$2:$S$376,0)),""),"")&amp;IF(COUNTIFS('Agenda 2026'!$Q$2:$Q$376,DATE(2026,5,31),'Agenda 2026'!$M$2:$M$376,1)&gt;=5,CHAR(10)&amp;IFERROR(INDEX('Agenda 2026'!$B$2:$B$376,MATCH(DATE(2026,5,31)*10+5,'Agenda 2026'!$S$2:$S$376,0)),""),"")&amp;IF(COUNTIFS('Agenda 2026'!$Q$2:$Q$376,DATE(2026,5,31),'Agenda 2026'!$M$2:$M$376,1)&gt;=6,CHAR(10)&amp;IFERROR(INDEX('Agenda 2026'!$B$2:$B$376,MATCH(DATE(2026,5,31)*10+6,'Agenda 2026'!$S$2:$S$376,0)),""),"")&amp;IF(COUNTIFS('Agenda 2026'!$Q$2:$Q$376,DATE(2026,5,31),'Agenda 2026'!$M$2:$M$376,1)&gt;=7,CHAR(10)&amp;IFERROR(INDEX('Agenda 2026'!$B$2:$B$376,MATCH(DATE(2026,5,31)*10+7,'Agenda 2026'!$S$2:$S$376,0)),""),"")&amp;IF(COUNTIFS('Agenda 2026'!$Q$2:$Q$376,DATE(2026,5,31),'Agenda 2026'!$M$2:$M$376,1)&gt;=8,CHAR(10)&amp;IFERROR(INDEX('Agenda 2026'!$B$2:$B$376,MATCH(DATE(2026,5,31)*10+8,'Agenda 2026'!$S$2:$S$376,0)),""),"")&amp;IF(COUNTIFS('Agenda 2026'!$Q$2:$Q$376,DATE(2026,5,31),'Agenda 2026'!$M$2:$M$376,1)&gt;=9,CHAR(10)&amp;IFERROR(INDEX('Agenda 2026'!$B$2:$B$376,MATCH(DATE(2026,5,31)*10+9,'Agenda 2026'!$S$2:$S$376,0)),""),"")&amp;IF(COUNTIFS('Agenda 2026'!$Q$2:$Q$376,DATE(2026,5,31),'Agenda 2026'!$M$2:$M$376,1)&gt;=10,CHAR(10)&amp;IFERROR(INDEX('Agenda 2026'!$B$2:$B$376,MATCH(DATE(2026,5,31)*10+10,'Agenda 2026'!$S$2:$S$376,0)),""),"")&amp;IF(COUNTIFS('Agenda 2026'!$Q$2:$Q$376,DATE(2026,5,31),'Agenda 2026'!$M$2:$M$376,1)&gt;=11,CHAR(10)&amp;IFERROR(INDEX('Agenda 2026'!$B$2:$B$376,MATCH(DATE(2026,5,31)*10+11,'Agenda 2026'!$S$2:$S$376,0)),""),"")&amp;IF(COUNTIFS('Agenda 2026'!$Q$2:$Q$376,DATE(2026,5,31),'Agenda 2026'!$M$2:$M$376,1)&gt;=12,CHAR(10)&amp;IFERROR(INDEX('Agenda 2026'!$B$2:$B$376,MATCH(DATE(2026,5,31)*10+12,'Agenda 2026'!$S$2:$S$376,0)),""),"")</f>
        <v>31</v>
      </c>
    </row>
    <row r="52" spans="1:8" ht="21.75" customHeight="1" x14ac:dyDescent="0.35">
      <c r="A52" s="17"/>
      <c r="B52" s="57"/>
      <c r="C52" s="57"/>
      <c r="D52" s="57"/>
      <c r="E52" s="57"/>
      <c r="F52" s="57"/>
      <c r="G52" s="57"/>
      <c r="H52" s="57"/>
    </row>
    <row r="53" spans="1:8" ht="21.75" customHeight="1" x14ac:dyDescent="0.35">
      <c r="A53" s="17"/>
      <c r="B53" s="59"/>
      <c r="C53" s="59"/>
      <c r="D53" s="59"/>
      <c r="E53" s="59"/>
      <c r="F53" s="59"/>
      <c r="G53" s="59"/>
      <c r="H53" s="59"/>
    </row>
    <row r="54" spans="1:8" ht="21.75" customHeight="1" x14ac:dyDescent="0.35">
      <c r="A54" s="17"/>
      <c r="B54" s="10" t="s">
        <v>69</v>
      </c>
      <c r="C54" s="10"/>
      <c r="D54" s="10"/>
      <c r="E54" s="10"/>
      <c r="F54" s="10"/>
      <c r="G54" s="10"/>
      <c r="H54" s="10"/>
    </row>
    <row r="55" spans="1:8" ht="15.75" customHeight="1" x14ac:dyDescent="0.35">
      <c r="A55" s="17"/>
      <c r="B55" s="56" t="s">
        <v>58</v>
      </c>
      <c r="C55" s="56" t="s">
        <v>59</v>
      </c>
      <c r="D55" s="56" t="s">
        <v>60</v>
      </c>
      <c r="E55" s="56" t="s">
        <v>61</v>
      </c>
      <c r="F55" s="56" t="s">
        <v>62</v>
      </c>
      <c r="G55" s="56" t="s">
        <v>63</v>
      </c>
      <c r="H55" s="56" t="s">
        <v>64</v>
      </c>
    </row>
    <row r="56" spans="1:8" ht="33.75" customHeight="1" x14ac:dyDescent="0.35">
      <c r="A56" s="17"/>
      <c r="B56" s="58" t="str">
        <f t="array" ref="B56">1&amp;IF(COUNTIFS('Agenda 2026'!$Q$2:$Q$376,DATE(2026,6,1),'Agenda 2026'!$M$2:$M$376,1)&gt;=1,CHAR(10)&amp;IFERROR(INDEX('Agenda 2026'!$B$2:$B$376,MATCH(DATE(2026,6,1)*10+1,'Agenda 2026'!$S$2:$S$376,0)),""),"")&amp;IF(COUNTIFS('Agenda 2026'!$Q$2:$Q$376,DATE(2026,6,1),'Agenda 2026'!$M$2:$M$376,1)&gt;=2,CHAR(10)&amp;IFERROR(INDEX('Agenda 2026'!$B$2:$B$376,MATCH(DATE(2026,6,1)*10+2,'Agenda 2026'!$S$2:$S$376,0)),""),"")&amp;IF(COUNTIFS('Agenda 2026'!$Q$2:$Q$376,DATE(2026,6,1),'Agenda 2026'!$M$2:$M$376,1)&gt;=3,CHAR(10)&amp;IFERROR(INDEX('Agenda 2026'!$B$2:$B$376,MATCH(DATE(2026,6,1)*10+3,'Agenda 2026'!$S$2:$S$376,0)),""),"")&amp;IF(COUNTIFS('Agenda 2026'!$Q$2:$Q$376,DATE(2026,6,1),'Agenda 2026'!$M$2:$M$376,1)&gt;=4,CHAR(10)&amp;IFERROR(INDEX('Agenda 2026'!$B$2:$B$376,MATCH(DATE(2026,6,1)*10+4,'Agenda 2026'!$S$2:$S$376,0)),""),"")&amp;IF(COUNTIFS('Agenda 2026'!$Q$2:$Q$376,DATE(2026,6,1),'Agenda 2026'!$M$2:$M$376,1)&gt;=5,CHAR(10)&amp;IFERROR(INDEX('Agenda 2026'!$B$2:$B$376,MATCH(DATE(2026,6,1)*10+5,'Agenda 2026'!$S$2:$S$376,0)),""),"")&amp;IF(COUNTIFS('Agenda 2026'!$Q$2:$Q$376,DATE(2026,6,1),'Agenda 2026'!$M$2:$M$376,1)&gt;=6,CHAR(10)&amp;IFERROR(INDEX('Agenda 2026'!$B$2:$B$376,MATCH(DATE(2026,6,1)*10+6,'Agenda 2026'!$S$2:$S$376,0)),""),"")&amp;IF(COUNTIFS('Agenda 2026'!$Q$2:$Q$376,DATE(2026,6,1),'Agenda 2026'!$M$2:$M$376,1)&gt;=7,CHAR(10)&amp;IFERROR(INDEX('Agenda 2026'!$B$2:$B$376,MATCH(DATE(2026,6,1)*10+7,'Agenda 2026'!$S$2:$S$376,0)),""),"")&amp;IF(COUNTIFS('Agenda 2026'!$Q$2:$Q$376,DATE(2026,6,1),'Agenda 2026'!$M$2:$M$376,1)&gt;=8,CHAR(10)&amp;IFERROR(INDEX('Agenda 2026'!$B$2:$B$376,MATCH(DATE(2026,6,1)*10+8,'Agenda 2026'!$S$2:$S$376,0)),""),"")&amp;IF(COUNTIFS('Agenda 2026'!$Q$2:$Q$376,DATE(2026,6,1),'Agenda 2026'!$M$2:$M$376,1)&gt;=9,CHAR(10)&amp;IFERROR(INDEX('Agenda 2026'!$B$2:$B$376,MATCH(DATE(2026,6,1)*10+9,'Agenda 2026'!$S$2:$S$376,0)),""),"")&amp;IF(COUNTIFS('Agenda 2026'!$Q$2:$Q$376,DATE(2026,6,1),'Agenda 2026'!$M$2:$M$376,1)&gt;=10,CHAR(10)&amp;IFERROR(INDEX('Agenda 2026'!$B$2:$B$376,MATCH(DATE(2026,6,1)*10+10,'Agenda 2026'!$S$2:$S$376,0)),""),"")&amp;IF(COUNTIFS('Agenda 2026'!$Q$2:$Q$376,DATE(2026,6,1),'Agenda 2026'!$M$2:$M$376,1)&gt;=11,CHAR(10)&amp;IFERROR(INDEX('Agenda 2026'!$B$2:$B$376,MATCH(DATE(2026,6,1)*10+11,'Agenda 2026'!$S$2:$S$376,0)),""),"")&amp;IF(COUNTIFS('Agenda 2026'!$Q$2:$Q$376,DATE(2026,6,1),'Agenda 2026'!$M$2:$M$376,1)&gt;=12,CHAR(10)&amp;IFERROR(INDEX('Agenda 2026'!$B$2:$B$376,MATCH(DATE(2026,6,1)*10+12,'Agenda 2026'!$S$2:$S$376,0)),""),"")</f>
        <v>1</v>
      </c>
      <c r="C56" s="58" t="str">
        <f t="array" ref="C56">2&amp;IF(COUNTIFS('Agenda 2026'!$Q$2:$Q$376,DATE(2026,6,2),'Agenda 2026'!$M$2:$M$376,1)&gt;=1,CHAR(10)&amp;IFERROR(INDEX('Agenda 2026'!$B$2:$B$376,MATCH(DATE(2026,6,2)*10+1,'Agenda 2026'!$S$2:$S$376,0)),""),"")&amp;IF(COUNTIFS('Agenda 2026'!$Q$2:$Q$376,DATE(2026,6,2),'Agenda 2026'!$M$2:$M$376,1)&gt;=2,CHAR(10)&amp;IFERROR(INDEX('Agenda 2026'!$B$2:$B$376,MATCH(DATE(2026,6,2)*10+2,'Agenda 2026'!$S$2:$S$376,0)),""),"")&amp;IF(COUNTIFS('Agenda 2026'!$Q$2:$Q$376,DATE(2026,6,2),'Agenda 2026'!$M$2:$M$376,1)&gt;=3,CHAR(10)&amp;IFERROR(INDEX('Agenda 2026'!$B$2:$B$376,MATCH(DATE(2026,6,2)*10+3,'Agenda 2026'!$S$2:$S$376,0)),""),"")&amp;IF(COUNTIFS('Agenda 2026'!$Q$2:$Q$376,DATE(2026,6,2),'Agenda 2026'!$M$2:$M$376,1)&gt;=4,CHAR(10)&amp;IFERROR(INDEX('Agenda 2026'!$B$2:$B$376,MATCH(DATE(2026,6,2)*10+4,'Agenda 2026'!$S$2:$S$376,0)),""),"")&amp;IF(COUNTIFS('Agenda 2026'!$Q$2:$Q$376,DATE(2026,6,2),'Agenda 2026'!$M$2:$M$376,1)&gt;=5,CHAR(10)&amp;IFERROR(INDEX('Agenda 2026'!$B$2:$B$376,MATCH(DATE(2026,6,2)*10+5,'Agenda 2026'!$S$2:$S$376,0)),""),"")&amp;IF(COUNTIFS('Agenda 2026'!$Q$2:$Q$376,DATE(2026,6,2),'Agenda 2026'!$M$2:$M$376,1)&gt;=6,CHAR(10)&amp;IFERROR(INDEX('Agenda 2026'!$B$2:$B$376,MATCH(DATE(2026,6,2)*10+6,'Agenda 2026'!$S$2:$S$376,0)),""),"")&amp;IF(COUNTIFS('Agenda 2026'!$Q$2:$Q$376,DATE(2026,6,2),'Agenda 2026'!$M$2:$M$376,1)&gt;=7,CHAR(10)&amp;IFERROR(INDEX('Agenda 2026'!$B$2:$B$376,MATCH(DATE(2026,6,2)*10+7,'Agenda 2026'!$S$2:$S$376,0)),""),"")&amp;IF(COUNTIFS('Agenda 2026'!$Q$2:$Q$376,DATE(2026,6,2),'Agenda 2026'!$M$2:$M$376,1)&gt;=8,CHAR(10)&amp;IFERROR(INDEX('Agenda 2026'!$B$2:$B$376,MATCH(DATE(2026,6,2)*10+8,'Agenda 2026'!$S$2:$S$376,0)),""),"")&amp;IF(COUNTIFS('Agenda 2026'!$Q$2:$Q$376,DATE(2026,6,2),'Agenda 2026'!$M$2:$M$376,1)&gt;=9,CHAR(10)&amp;IFERROR(INDEX('Agenda 2026'!$B$2:$B$376,MATCH(DATE(2026,6,2)*10+9,'Agenda 2026'!$S$2:$S$376,0)),""),"")&amp;IF(COUNTIFS('Agenda 2026'!$Q$2:$Q$376,DATE(2026,6,2),'Agenda 2026'!$M$2:$M$376,1)&gt;=10,CHAR(10)&amp;IFERROR(INDEX('Agenda 2026'!$B$2:$B$376,MATCH(DATE(2026,6,2)*10+10,'Agenda 2026'!$S$2:$S$376,0)),""),"")&amp;IF(COUNTIFS('Agenda 2026'!$Q$2:$Q$376,DATE(2026,6,2),'Agenda 2026'!$M$2:$M$376,1)&gt;=11,CHAR(10)&amp;IFERROR(INDEX('Agenda 2026'!$B$2:$B$376,MATCH(DATE(2026,6,2)*10+11,'Agenda 2026'!$S$2:$S$376,0)),""),"")&amp;IF(COUNTIFS('Agenda 2026'!$Q$2:$Q$376,DATE(2026,6,2),'Agenda 2026'!$M$2:$M$376,1)&gt;=12,CHAR(10)&amp;IFERROR(INDEX('Agenda 2026'!$B$2:$B$376,MATCH(DATE(2026,6,2)*10+12,'Agenda 2026'!$S$2:$S$376,0)),""),"")</f>
        <v>2</v>
      </c>
      <c r="D56" s="58" t="str">
        <f t="array" ref="D56">3&amp;IF(COUNTIFS('Agenda 2026'!$Q$2:$Q$376,DATE(2026,6,3),'Agenda 2026'!$M$2:$M$376,1)&gt;=1,CHAR(10)&amp;IFERROR(INDEX('Agenda 2026'!$B$2:$B$376,MATCH(DATE(2026,6,3)*10+1,'Agenda 2026'!$S$2:$S$376,0)),""),"")&amp;IF(COUNTIFS('Agenda 2026'!$Q$2:$Q$376,DATE(2026,6,3),'Agenda 2026'!$M$2:$M$376,1)&gt;=2,CHAR(10)&amp;IFERROR(INDEX('Agenda 2026'!$B$2:$B$376,MATCH(DATE(2026,6,3)*10+2,'Agenda 2026'!$S$2:$S$376,0)),""),"")&amp;IF(COUNTIFS('Agenda 2026'!$Q$2:$Q$376,DATE(2026,6,3),'Agenda 2026'!$M$2:$M$376,1)&gt;=3,CHAR(10)&amp;IFERROR(INDEX('Agenda 2026'!$B$2:$B$376,MATCH(DATE(2026,6,3)*10+3,'Agenda 2026'!$S$2:$S$376,0)),""),"")&amp;IF(COUNTIFS('Agenda 2026'!$Q$2:$Q$376,DATE(2026,6,3),'Agenda 2026'!$M$2:$M$376,1)&gt;=4,CHAR(10)&amp;IFERROR(INDEX('Agenda 2026'!$B$2:$B$376,MATCH(DATE(2026,6,3)*10+4,'Agenda 2026'!$S$2:$S$376,0)),""),"")&amp;IF(COUNTIFS('Agenda 2026'!$Q$2:$Q$376,DATE(2026,6,3),'Agenda 2026'!$M$2:$M$376,1)&gt;=5,CHAR(10)&amp;IFERROR(INDEX('Agenda 2026'!$B$2:$B$376,MATCH(DATE(2026,6,3)*10+5,'Agenda 2026'!$S$2:$S$376,0)),""),"")&amp;IF(COUNTIFS('Agenda 2026'!$Q$2:$Q$376,DATE(2026,6,3),'Agenda 2026'!$M$2:$M$376,1)&gt;=6,CHAR(10)&amp;IFERROR(INDEX('Agenda 2026'!$B$2:$B$376,MATCH(DATE(2026,6,3)*10+6,'Agenda 2026'!$S$2:$S$376,0)),""),"")&amp;IF(COUNTIFS('Agenda 2026'!$Q$2:$Q$376,DATE(2026,6,3),'Agenda 2026'!$M$2:$M$376,1)&gt;=7,CHAR(10)&amp;IFERROR(INDEX('Agenda 2026'!$B$2:$B$376,MATCH(DATE(2026,6,3)*10+7,'Agenda 2026'!$S$2:$S$376,0)),""),"")&amp;IF(COUNTIFS('Agenda 2026'!$Q$2:$Q$376,DATE(2026,6,3),'Agenda 2026'!$M$2:$M$376,1)&gt;=8,CHAR(10)&amp;IFERROR(INDEX('Agenda 2026'!$B$2:$B$376,MATCH(DATE(2026,6,3)*10+8,'Agenda 2026'!$S$2:$S$376,0)),""),"")&amp;IF(COUNTIFS('Agenda 2026'!$Q$2:$Q$376,DATE(2026,6,3),'Agenda 2026'!$M$2:$M$376,1)&gt;=9,CHAR(10)&amp;IFERROR(INDEX('Agenda 2026'!$B$2:$B$376,MATCH(DATE(2026,6,3)*10+9,'Agenda 2026'!$S$2:$S$376,0)),""),"")&amp;IF(COUNTIFS('Agenda 2026'!$Q$2:$Q$376,DATE(2026,6,3),'Agenda 2026'!$M$2:$M$376,1)&gt;=10,CHAR(10)&amp;IFERROR(INDEX('Agenda 2026'!$B$2:$B$376,MATCH(DATE(2026,6,3)*10+10,'Agenda 2026'!$S$2:$S$376,0)),""),"")&amp;IF(COUNTIFS('Agenda 2026'!$Q$2:$Q$376,DATE(2026,6,3),'Agenda 2026'!$M$2:$M$376,1)&gt;=11,CHAR(10)&amp;IFERROR(INDEX('Agenda 2026'!$B$2:$B$376,MATCH(DATE(2026,6,3)*10+11,'Agenda 2026'!$S$2:$S$376,0)),""),"")&amp;IF(COUNTIFS('Agenda 2026'!$Q$2:$Q$376,DATE(2026,6,3),'Agenda 2026'!$M$2:$M$376,1)&gt;=12,CHAR(10)&amp;IFERROR(INDEX('Agenda 2026'!$B$2:$B$376,MATCH(DATE(2026,6,3)*10+12,'Agenda 2026'!$S$2:$S$376,0)),""),"")</f>
        <v>3</v>
      </c>
      <c r="E56" s="58" t="str">
        <f t="array" ref="E56">4&amp;IF(COUNTIFS('Agenda 2026'!$Q$2:$Q$376,DATE(2026,6,4),'Agenda 2026'!$M$2:$M$376,1)&gt;=1,CHAR(10)&amp;IFERROR(INDEX('Agenda 2026'!$B$2:$B$376,MATCH(DATE(2026,6,4)*10+1,'Agenda 2026'!$S$2:$S$376,0)),""),"")&amp;IF(COUNTIFS('Agenda 2026'!$Q$2:$Q$376,DATE(2026,6,4),'Agenda 2026'!$M$2:$M$376,1)&gt;=2,CHAR(10)&amp;IFERROR(INDEX('Agenda 2026'!$B$2:$B$376,MATCH(DATE(2026,6,4)*10+2,'Agenda 2026'!$S$2:$S$376,0)),""),"")&amp;IF(COUNTIFS('Agenda 2026'!$Q$2:$Q$376,DATE(2026,6,4),'Agenda 2026'!$M$2:$M$376,1)&gt;=3,CHAR(10)&amp;IFERROR(INDEX('Agenda 2026'!$B$2:$B$376,MATCH(DATE(2026,6,4)*10+3,'Agenda 2026'!$S$2:$S$376,0)),""),"")&amp;IF(COUNTIFS('Agenda 2026'!$Q$2:$Q$376,DATE(2026,6,4),'Agenda 2026'!$M$2:$M$376,1)&gt;=4,CHAR(10)&amp;IFERROR(INDEX('Agenda 2026'!$B$2:$B$376,MATCH(DATE(2026,6,4)*10+4,'Agenda 2026'!$S$2:$S$376,0)),""),"")&amp;IF(COUNTIFS('Agenda 2026'!$Q$2:$Q$376,DATE(2026,6,4),'Agenda 2026'!$M$2:$M$376,1)&gt;=5,CHAR(10)&amp;IFERROR(INDEX('Agenda 2026'!$B$2:$B$376,MATCH(DATE(2026,6,4)*10+5,'Agenda 2026'!$S$2:$S$376,0)),""),"")&amp;IF(COUNTIFS('Agenda 2026'!$Q$2:$Q$376,DATE(2026,6,4),'Agenda 2026'!$M$2:$M$376,1)&gt;=6,CHAR(10)&amp;IFERROR(INDEX('Agenda 2026'!$B$2:$B$376,MATCH(DATE(2026,6,4)*10+6,'Agenda 2026'!$S$2:$S$376,0)),""),"")&amp;IF(COUNTIFS('Agenda 2026'!$Q$2:$Q$376,DATE(2026,6,4),'Agenda 2026'!$M$2:$M$376,1)&gt;=7,CHAR(10)&amp;IFERROR(INDEX('Agenda 2026'!$B$2:$B$376,MATCH(DATE(2026,6,4)*10+7,'Agenda 2026'!$S$2:$S$376,0)),""),"")&amp;IF(COUNTIFS('Agenda 2026'!$Q$2:$Q$376,DATE(2026,6,4),'Agenda 2026'!$M$2:$M$376,1)&gt;=8,CHAR(10)&amp;IFERROR(INDEX('Agenda 2026'!$B$2:$B$376,MATCH(DATE(2026,6,4)*10+8,'Agenda 2026'!$S$2:$S$376,0)),""),"")&amp;IF(COUNTIFS('Agenda 2026'!$Q$2:$Q$376,DATE(2026,6,4),'Agenda 2026'!$M$2:$M$376,1)&gt;=9,CHAR(10)&amp;IFERROR(INDEX('Agenda 2026'!$B$2:$B$376,MATCH(DATE(2026,6,4)*10+9,'Agenda 2026'!$S$2:$S$376,0)),""),"")&amp;IF(COUNTIFS('Agenda 2026'!$Q$2:$Q$376,DATE(2026,6,4),'Agenda 2026'!$M$2:$M$376,1)&gt;=10,CHAR(10)&amp;IFERROR(INDEX('Agenda 2026'!$B$2:$B$376,MATCH(DATE(2026,6,4)*10+10,'Agenda 2026'!$S$2:$S$376,0)),""),"")&amp;IF(COUNTIFS('Agenda 2026'!$Q$2:$Q$376,DATE(2026,6,4),'Agenda 2026'!$M$2:$M$376,1)&gt;=11,CHAR(10)&amp;IFERROR(INDEX('Agenda 2026'!$B$2:$B$376,MATCH(DATE(2026,6,4)*10+11,'Agenda 2026'!$S$2:$S$376,0)),""),"")&amp;IF(COUNTIFS('Agenda 2026'!$Q$2:$Q$376,DATE(2026,6,4),'Agenda 2026'!$M$2:$M$376,1)&gt;=12,CHAR(10)&amp;IFERROR(INDEX('Agenda 2026'!$B$2:$B$376,MATCH(DATE(2026,6,4)*10+12,'Agenda 2026'!$S$2:$S$376,0)),""),"")</f>
        <v>4</v>
      </c>
      <c r="F56" s="58" t="str">
        <f t="array" ref="F56">5&amp;IF(COUNTIFS('Agenda 2026'!$Q$2:$Q$376,DATE(2026,6,5),'Agenda 2026'!$M$2:$M$376,1)&gt;=1,CHAR(10)&amp;IFERROR(INDEX('Agenda 2026'!$B$2:$B$376,MATCH(DATE(2026,6,5)*10+1,'Agenda 2026'!$S$2:$S$376,0)),""),"")&amp;IF(COUNTIFS('Agenda 2026'!$Q$2:$Q$376,DATE(2026,6,5),'Agenda 2026'!$M$2:$M$376,1)&gt;=2,CHAR(10)&amp;IFERROR(INDEX('Agenda 2026'!$B$2:$B$376,MATCH(DATE(2026,6,5)*10+2,'Agenda 2026'!$S$2:$S$376,0)),""),"")&amp;IF(COUNTIFS('Agenda 2026'!$Q$2:$Q$376,DATE(2026,6,5),'Agenda 2026'!$M$2:$M$376,1)&gt;=3,CHAR(10)&amp;IFERROR(INDEX('Agenda 2026'!$B$2:$B$376,MATCH(DATE(2026,6,5)*10+3,'Agenda 2026'!$S$2:$S$376,0)),""),"")&amp;IF(COUNTIFS('Agenda 2026'!$Q$2:$Q$376,DATE(2026,6,5),'Agenda 2026'!$M$2:$M$376,1)&gt;=4,CHAR(10)&amp;IFERROR(INDEX('Agenda 2026'!$B$2:$B$376,MATCH(DATE(2026,6,5)*10+4,'Agenda 2026'!$S$2:$S$376,0)),""),"")&amp;IF(COUNTIFS('Agenda 2026'!$Q$2:$Q$376,DATE(2026,6,5),'Agenda 2026'!$M$2:$M$376,1)&gt;=5,CHAR(10)&amp;IFERROR(INDEX('Agenda 2026'!$B$2:$B$376,MATCH(DATE(2026,6,5)*10+5,'Agenda 2026'!$S$2:$S$376,0)),""),"")&amp;IF(COUNTIFS('Agenda 2026'!$Q$2:$Q$376,DATE(2026,6,5),'Agenda 2026'!$M$2:$M$376,1)&gt;=6,CHAR(10)&amp;IFERROR(INDEX('Agenda 2026'!$B$2:$B$376,MATCH(DATE(2026,6,5)*10+6,'Agenda 2026'!$S$2:$S$376,0)),""),"")&amp;IF(COUNTIFS('Agenda 2026'!$Q$2:$Q$376,DATE(2026,6,5),'Agenda 2026'!$M$2:$M$376,1)&gt;=7,CHAR(10)&amp;IFERROR(INDEX('Agenda 2026'!$B$2:$B$376,MATCH(DATE(2026,6,5)*10+7,'Agenda 2026'!$S$2:$S$376,0)),""),"")&amp;IF(COUNTIFS('Agenda 2026'!$Q$2:$Q$376,DATE(2026,6,5),'Agenda 2026'!$M$2:$M$376,1)&gt;=8,CHAR(10)&amp;IFERROR(INDEX('Agenda 2026'!$B$2:$B$376,MATCH(DATE(2026,6,5)*10+8,'Agenda 2026'!$S$2:$S$376,0)),""),"")&amp;IF(COUNTIFS('Agenda 2026'!$Q$2:$Q$376,DATE(2026,6,5),'Agenda 2026'!$M$2:$M$376,1)&gt;=9,CHAR(10)&amp;IFERROR(INDEX('Agenda 2026'!$B$2:$B$376,MATCH(DATE(2026,6,5)*10+9,'Agenda 2026'!$S$2:$S$376,0)),""),"")&amp;IF(COUNTIFS('Agenda 2026'!$Q$2:$Q$376,DATE(2026,6,5),'Agenda 2026'!$M$2:$M$376,1)&gt;=10,CHAR(10)&amp;IFERROR(INDEX('Agenda 2026'!$B$2:$B$376,MATCH(DATE(2026,6,5)*10+10,'Agenda 2026'!$S$2:$S$376,0)),""),"")&amp;IF(COUNTIFS('Agenda 2026'!$Q$2:$Q$376,DATE(2026,6,5),'Agenda 2026'!$M$2:$M$376,1)&gt;=11,CHAR(10)&amp;IFERROR(INDEX('Agenda 2026'!$B$2:$B$376,MATCH(DATE(2026,6,5)*10+11,'Agenda 2026'!$S$2:$S$376,0)),""),"")&amp;IF(COUNTIFS('Agenda 2026'!$Q$2:$Q$376,DATE(2026,6,5),'Agenda 2026'!$M$2:$M$376,1)&gt;=12,CHAR(10)&amp;IFERROR(INDEX('Agenda 2026'!$B$2:$B$376,MATCH(DATE(2026,6,5)*10+12,'Agenda 2026'!$S$2:$S$376,0)),""),"")</f>
        <v>5</v>
      </c>
      <c r="G56" s="58" t="str">
        <f t="array" ref="G56">6&amp;IF(COUNTIFS('Agenda 2026'!$Q$2:$Q$376,DATE(2026,6,6),'Agenda 2026'!$M$2:$M$376,1)&gt;=1,CHAR(10)&amp;IFERROR(INDEX('Agenda 2026'!$B$2:$B$376,MATCH(DATE(2026,6,6)*10+1,'Agenda 2026'!$S$2:$S$376,0)),""),"")&amp;IF(COUNTIFS('Agenda 2026'!$Q$2:$Q$376,DATE(2026,6,6),'Agenda 2026'!$M$2:$M$376,1)&gt;=2,CHAR(10)&amp;IFERROR(INDEX('Agenda 2026'!$B$2:$B$376,MATCH(DATE(2026,6,6)*10+2,'Agenda 2026'!$S$2:$S$376,0)),""),"")&amp;IF(COUNTIFS('Agenda 2026'!$Q$2:$Q$376,DATE(2026,6,6),'Agenda 2026'!$M$2:$M$376,1)&gt;=3,CHAR(10)&amp;IFERROR(INDEX('Agenda 2026'!$B$2:$B$376,MATCH(DATE(2026,6,6)*10+3,'Agenda 2026'!$S$2:$S$376,0)),""),"")&amp;IF(COUNTIFS('Agenda 2026'!$Q$2:$Q$376,DATE(2026,6,6),'Agenda 2026'!$M$2:$M$376,1)&gt;=4,CHAR(10)&amp;IFERROR(INDEX('Agenda 2026'!$B$2:$B$376,MATCH(DATE(2026,6,6)*10+4,'Agenda 2026'!$S$2:$S$376,0)),""),"")&amp;IF(COUNTIFS('Agenda 2026'!$Q$2:$Q$376,DATE(2026,6,6),'Agenda 2026'!$M$2:$M$376,1)&gt;=5,CHAR(10)&amp;IFERROR(INDEX('Agenda 2026'!$B$2:$B$376,MATCH(DATE(2026,6,6)*10+5,'Agenda 2026'!$S$2:$S$376,0)),""),"")&amp;IF(COUNTIFS('Agenda 2026'!$Q$2:$Q$376,DATE(2026,6,6),'Agenda 2026'!$M$2:$M$376,1)&gt;=6,CHAR(10)&amp;IFERROR(INDEX('Agenda 2026'!$B$2:$B$376,MATCH(DATE(2026,6,6)*10+6,'Agenda 2026'!$S$2:$S$376,0)),""),"")&amp;IF(COUNTIFS('Agenda 2026'!$Q$2:$Q$376,DATE(2026,6,6),'Agenda 2026'!$M$2:$M$376,1)&gt;=7,CHAR(10)&amp;IFERROR(INDEX('Agenda 2026'!$B$2:$B$376,MATCH(DATE(2026,6,6)*10+7,'Agenda 2026'!$S$2:$S$376,0)),""),"")&amp;IF(COUNTIFS('Agenda 2026'!$Q$2:$Q$376,DATE(2026,6,6),'Agenda 2026'!$M$2:$M$376,1)&gt;=8,CHAR(10)&amp;IFERROR(INDEX('Agenda 2026'!$B$2:$B$376,MATCH(DATE(2026,6,6)*10+8,'Agenda 2026'!$S$2:$S$376,0)),""),"")&amp;IF(COUNTIFS('Agenda 2026'!$Q$2:$Q$376,DATE(2026,6,6),'Agenda 2026'!$M$2:$M$376,1)&gt;=9,CHAR(10)&amp;IFERROR(INDEX('Agenda 2026'!$B$2:$B$376,MATCH(DATE(2026,6,6)*10+9,'Agenda 2026'!$S$2:$S$376,0)),""),"")&amp;IF(COUNTIFS('Agenda 2026'!$Q$2:$Q$376,DATE(2026,6,6),'Agenda 2026'!$M$2:$M$376,1)&gt;=10,CHAR(10)&amp;IFERROR(INDEX('Agenda 2026'!$B$2:$B$376,MATCH(DATE(2026,6,6)*10+10,'Agenda 2026'!$S$2:$S$376,0)),""),"")&amp;IF(COUNTIFS('Agenda 2026'!$Q$2:$Q$376,DATE(2026,6,6),'Agenda 2026'!$M$2:$M$376,1)&gt;=11,CHAR(10)&amp;IFERROR(INDEX('Agenda 2026'!$B$2:$B$376,MATCH(DATE(2026,6,6)*10+11,'Agenda 2026'!$S$2:$S$376,0)),""),"")&amp;IF(COUNTIFS('Agenda 2026'!$Q$2:$Q$376,DATE(2026,6,6),'Agenda 2026'!$M$2:$M$376,1)&gt;=12,CHAR(10)&amp;IFERROR(INDEX('Agenda 2026'!$B$2:$B$376,MATCH(DATE(2026,6,6)*10+12,'Agenda 2026'!$S$2:$S$376,0)),""),"")</f>
        <v>6</v>
      </c>
      <c r="H56" s="58" t="str">
        <f t="array" ref="H56">7&amp;IF(COUNTIFS('Agenda 2026'!$Q$2:$Q$376,DATE(2026,6,7),'Agenda 2026'!$M$2:$M$376,1)&gt;=1,CHAR(10)&amp;IFERROR(INDEX('Agenda 2026'!$B$2:$B$376,MATCH(DATE(2026,6,7)*10+1,'Agenda 2026'!$S$2:$S$376,0)),""),"")&amp;IF(COUNTIFS('Agenda 2026'!$Q$2:$Q$376,DATE(2026,6,7),'Agenda 2026'!$M$2:$M$376,1)&gt;=2,CHAR(10)&amp;IFERROR(INDEX('Agenda 2026'!$B$2:$B$376,MATCH(DATE(2026,6,7)*10+2,'Agenda 2026'!$S$2:$S$376,0)),""),"")&amp;IF(COUNTIFS('Agenda 2026'!$Q$2:$Q$376,DATE(2026,6,7),'Agenda 2026'!$M$2:$M$376,1)&gt;=3,CHAR(10)&amp;IFERROR(INDEX('Agenda 2026'!$B$2:$B$376,MATCH(DATE(2026,6,7)*10+3,'Agenda 2026'!$S$2:$S$376,0)),""),"")&amp;IF(COUNTIFS('Agenda 2026'!$Q$2:$Q$376,DATE(2026,6,7),'Agenda 2026'!$M$2:$M$376,1)&gt;=4,CHAR(10)&amp;IFERROR(INDEX('Agenda 2026'!$B$2:$B$376,MATCH(DATE(2026,6,7)*10+4,'Agenda 2026'!$S$2:$S$376,0)),""),"")&amp;IF(COUNTIFS('Agenda 2026'!$Q$2:$Q$376,DATE(2026,6,7),'Agenda 2026'!$M$2:$M$376,1)&gt;=5,CHAR(10)&amp;IFERROR(INDEX('Agenda 2026'!$B$2:$B$376,MATCH(DATE(2026,6,7)*10+5,'Agenda 2026'!$S$2:$S$376,0)),""),"")&amp;IF(COUNTIFS('Agenda 2026'!$Q$2:$Q$376,DATE(2026,6,7),'Agenda 2026'!$M$2:$M$376,1)&gt;=6,CHAR(10)&amp;IFERROR(INDEX('Agenda 2026'!$B$2:$B$376,MATCH(DATE(2026,6,7)*10+6,'Agenda 2026'!$S$2:$S$376,0)),""),"")&amp;IF(COUNTIFS('Agenda 2026'!$Q$2:$Q$376,DATE(2026,6,7),'Agenda 2026'!$M$2:$M$376,1)&gt;=7,CHAR(10)&amp;IFERROR(INDEX('Agenda 2026'!$B$2:$B$376,MATCH(DATE(2026,6,7)*10+7,'Agenda 2026'!$S$2:$S$376,0)),""),"")&amp;IF(COUNTIFS('Agenda 2026'!$Q$2:$Q$376,DATE(2026,6,7),'Agenda 2026'!$M$2:$M$376,1)&gt;=8,CHAR(10)&amp;IFERROR(INDEX('Agenda 2026'!$B$2:$B$376,MATCH(DATE(2026,6,7)*10+8,'Agenda 2026'!$S$2:$S$376,0)),""),"")&amp;IF(COUNTIFS('Agenda 2026'!$Q$2:$Q$376,DATE(2026,6,7),'Agenda 2026'!$M$2:$M$376,1)&gt;=9,CHAR(10)&amp;IFERROR(INDEX('Agenda 2026'!$B$2:$B$376,MATCH(DATE(2026,6,7)*10+9,'Agenda 2026'!$S$2:$S$376,0)),""),"")&amp;IF(COUNTIFS('Agenda 2026'!$Q$2:$Q$376,DATE(2026,6,7),'Agenda 2026'!$M$2:$M$376,1)&gt;=10,CHAR(10)&amp;IFERROR(INDEX('Agenda 2026'!$B$2:$B$376,MATCH(DATE(2026,6,7)*10+10,'Agenda 2026'!$S$2:$S$376,0)),""),"")&amp;IF(COUNTIFS('Agenda 2026'!$Q$2:$Q$376,DATE(2026,6,7),'Agenda 2026'!$M$2:$M$376,1)&gt;=11,CHAR(10)&amp;IFERROR(INDEX('Agenda 2026'!$B$2:$B$376,MATCH(DATE(2026,6,7)*10+11,'Agenda 2026'!$S$2:$S$376,0)),""),"")&amp;IF(COUNTIFS('Agenda 2026'!$Q$2:$Q$376,DATE(2026,6,7),'Agenda 2026'!$M$2:$M$376,1)&gt;=12,CHAR(10)&amp;IFERROR(INDEX('Agenda 2026'!$B$2:$B$376,MATCH(DATE(2026,6,7)*10+12,'Agenda 2026'!$S$2:$S$376,0)),""),"")</f>
        <v>7</v>
      </c>
    </row>
    <row r="57" spans="1:8" ht="45.75" customHeight="1" x14ac:dyDescent="0.35">
      <c r="A57" s="17"/>
      <c r="B57" s="58" t="str">
        <f t="array" ref="B57">8&amp;IF(COUNTIFS('Agenda 2026'!$Q$2:$Q$376,DATE(2026,6,8),'Agenda 2026'!$M$2:$M$376,1)&gt;=1,CHAR(10)&amp;IFERROR(INDEX('Agenda 2026'!$B$2:$B$376,MATCH(DATE(2026,6,8)*10+1,'Agenda 2026'!$S$2:$S$376,0)),""),"")&amp;IF(COUNTIFS('Agenda 2026'!$Q$2:$Q$376,DATE(2026,6,8),'Agenda 2026'!$M$2:$M$376,1)&gt;=2,CHAR(10)&amp;IFERROR(INDEX('Agenda 2026'!$B$2:$B$376,MATCH(DATE(2026,6,8)*10+2,'Agenda 2026'!$S$2:$S$376,0)),""),"")&amp;IF(COUNTIFS('Agenda 2026'!$Q$2:$Q$376,DATE(2026,6,8),'Agenda 2026'!$M$2:$M$376,1)&gt;=3,CHAR(10)&amp;IFERROR(INDEX('Agenda 2026'!$B$2:$B$376,MATCH(DATE(2026,6,8)*10+3,'Agenda 2026'!$S$2:$S$376,0)),""),"")&amp;IF(COUNTIFS('Agenda 2026'!$Q$2:$Q$376,DATE(2026,6,8),'Agenda 2026'!$M$2:$M$376,1)&gt;=4,CHAR(10)&amp;IFERROR(INDEX('Agenda 2026'!$B$2:$B$376,MATCH(DATE(2026,6,8)*10+4,'Agenda 2026'!$S$2:$S$376,0)),""),"")&amp;IF(COUNTIFS('Agenda 2026'!$Q$2:$Q$376,DATE(2026,6,8),'Agenda 2026'!$M$2:$M$376,1)&gt;=5,CHAR(10)&amp;IFERROR(INDEX('Agenda 2026'!$B$2:$B$376,MATCH(DATE(2026,6,8)*10+5,'Agenda 2026'!$S$2:$S$376,0)),""),"")&amp;IF(COUNTIFS('Agenda 2026'!$Q$2:$Q$376,DATE(2026,6,8),'Agenda 2026'!$M$2:$M$376,1)&gt;=6,CHAR(10)&amp;IFERROR(INDEX('Agenda 2026'!$B$2:$B$376,MATCH(DATE(2026,6,8)*10+6,'Agenda 2026'!$S$2:$S$376,0)),""),"")&amp;IF(COUNTIFS('Agenda 2026'!$Q$2:$Q$376,DATE(2026,6,8),'Agenda 2026'!$M$2:$M$376,1)&gt;=7,CHAR(10)&amp;IFERROR(INDEX('Agenda 2026'!$B$2:$B$376,MATCH(DATE(2026,6,8)*10+7,'Agenda 2026'!$S$2:$S$376,0)),""),"")&amp;IF(COUNTIFS('Agenda 2026'!$Q$2:$Q$376,DATE(2026,6,8),'Agenda 2026'!$M$2:$M$376,1)&gt;=8,CHAR(10)&amp;IFERROR(INDEX('Agenda 2026'!$B$2:$B$376,MATCH(DATE(2026,6,8)*10+8,'Agenda 2026'!$S$2:$S$376,0)),""),"")&amp;IF(COUNTIFS('Agenda 2026'!$Q$2:$Q$376,DATE(2026,6,8),'Agenda 2026'!$M$2:$M$376,1)&gt;=9,CHAR(10)&amp;IFERROR(INDEX('Agenda 2026'!$B$2:$B$376,MATCH(DATE(2026,6,8)*10+9,'Agenda 2026'!$S$2:$S$376,0)),""),"")&amp;IF(COUNTIFS('Agenda 2026'!$Q$2:$Q$376,DATE(2026,6,8),'Agenda 2026'!$M$2:$M$376,1)&gt;=10,CHAR(10)&amp;IFERROR(INDEX('Agenda 2026'!$B$2:$B$376,MATCH(DATE(2026,6,8)*10+10,'Agenda 2026'!$S$2:$S$376,0)),""),"")&amp;IF(COUNTIFS('Agenda 2026'!$Q$2:$Q$376,DATE(2026,6,8),'Agenda 2026'!$M$2:$M$376,1)&gt;=11,CHAR(10)&amp;IFERROR(INDEX('Agenda 2026'!$B$2:$B$376,MATCH(DATE(2026,6,8)*10+11,'Agenda 2026'!$S$2:$S$376,0)),""),"")&amp;IF(COUNTIFS('Agenda 2026'!$Q$2:$Q$376,DATE(2026,6,8),'Agenda 2026'!$M$2:$M$376,1)&gt;=12,CHAR(10)&amp;IFERROR(INDEX('Agenda 2026'!$B$2:$B$376,MATCH(DATE(2026,6,8)*10+12,'Agenda 2026'!$S$2:$S$376,0)),""),"")</f>
        <v>8</v>
      </c>
      <c r="C57" s="58" t="str">
        <f t="array" ref="C57">9&amp;IF(COUNTIFS('Agenda 2026'!$Q$2:$Q$376,DATE(2026,6,9),'Agenda 2026'!$M$2:$M$376,1)&gt;=1,CHAR(10)&amp;IFERROR(INDEX('Agenda 2026'!$B$2:$B$376,MATCH(DATE(2026,6,9)*10+1,'Agenda 2026'!$S$2:$S$376,0)),""),"")&amp;IF(COUNTIFS('Agenda 2026'!$Q$2:$Q$376,DATE(2026,6,9),'Agenda 2026'!$M$2:$M$376,1)&gt;=2,CHAR(10)&amp;IFERROR(INDEX('Agenda 2026'!$B$2:$B$376,MATCH(DATE(2026,6,9)*10+2,'Agenda 2026'!$S$2:$S$376,0)),""),"")&amp;IF(COUNTIFS('Agenda 2026'!$Q$2:$Q$376,DATE(2026,6,9),'Agenda 2026'!$M$2:$M$376,1)&gt;=3,CHAR(10)&amp;IFERROR(INDEX('Agenda 2026'!$B$2:$B$376,MATCH(DATE(2026,6,9)*10+3,'Agenda 2026'!$S$2:$S$376,0)),""),"")&amp;IF(COUNTIFS('Agenda 2026'!$Q$2:$Q$376,DATE(2026,6,9),'Agenda 2026'!$M$2:$M$376,1)&gt;=4,CHAR(10)&amp;IFERROR(INDEX('Agenda 2026'!$B$2:$B$376,MATCH(DATE(2026,6,9)*10+4,'Agenda 2026'!$S$2:$S$376,0)),""),"")&amp;IF(COUNTIFS('Agenda 2026'!$Q$2:$Q$376,DATE(2026,6,9),'Agenda 2026'!$M$2:$M$376,1)&gt;=5,CHAR(10)&amp;IFERROR(INDEX('Agenda 2026'!$B$2:$B$376,MATCH(DATE(2026,6,9)*10+5,'Agenda 2026'!$S$2:$S$376,0)),""),"")&amp;IF(COUNTIFS('Agenda 2026'!$Q$2:$Q$376,DATE(2026,6,9),'Agenda 2026'!$M$2:$M$376,1)&gt;=6,CHAR(10)&amp;IFERROR(INDEX('Agenda 2026'!$B$2:$B$376,MATCH(DATE(2026,6,9)*10+6,'Agenda 2026'!$S$2:$S$376,0)),""),"")&amp;IF(COUNTIFS('Agenda 2026'!$Q$2:$Q$376,DATE(2026,6,9),'Agenda 2026'!$M$2:$M$376,1)&gt;=7,CHAR(10)&amp;IFERROR(INDEX('Agenda 2026'!$B$2:$B$376,MATCH(DATE(2026,6,9)*10+7,'Agenda 2026'!$S$2:$S$376,0)),""),"")&amp;IF(COUNTIFS('Agenda 2026'!$Q$2:$Q$376,DATE(2026,6,9),'Agenda 2026'!$M$2:$M$376,1)&gt;=8,CHAR(10)&amp;IFERROR(INDEX('Agenda 2026'!$B$2:$B$376,MATCH(DATE(2026,6,9)*10+8,'Agenda 2026'!$S$2:$S$376,0)),""),"")&amp;IF(COUNTIFS('Agenda 2026'!$Q$2:$Q$376,DATE(2026,6,9),'Agenda 2026'!$M$2:$M$376,1)&gt;=9,CHAR(10)&amp;IFERROR(INDEX('Agenda 2026'!$B$2:$B$376,MATCH(DATE(2026,6,9)*10+9,'Agenda 2026'!$S$2:$S$376,0)),""),"")&amp;IF(COUNTIFS('Agenda 2026'!$Q$2:$Q$376,DATE(2026,6,9),'Agenda 2026'!$M$2:$M$376,1)&gt;=10,CHAR(10)&amp;IFERROR(INDEX('Agenda 2026'!$B$2:$B$376,MATCH(DATE(2026,6,9)*10+10,'Agenda 2026'!$S$2:$S$376,0)),""),"")&amp;IF(COUNTIFS('Agenda 2026'!$Q$2:$Q$376,DATE(2026,6,9),'Agenda 2026'!$M$2:$M$376,1)&gt;=11,CHAR(10)&amp;IFERROR(INDEX('Agenda 2026'!$B$2:$B$376,MATCH(DATE(2026,6,9)*10+11,'Agenda 2026'!$S$2:$S$376,0)),""),"")&amp;IF(COUNTIFS('Agenda 2026'!$Q$2:$Q$376,DATE(2026,6,9),'Agenda 2026'!$M$2:$M$376,1)&gt;=12,CHAR(10)&amp;IFERROR(INDEX('Agenda 2026'!$B$2:$B$376,MATCH(DATE(2026,6,9)*10+12,'Agenda 2026'!$S$2:$S$376,0)),""),"")</f>
        <v>9</v>
      </c>
      <c r="D57" s="58" t="str">
        <f t="array" ref="D57">10&amp;IF(COUNTIFS('Agenda 2026'!$Q$2:$Q$376,DATE(2026,6,10),'Agenda 2026'!$M$2:$M$376,1)&gt;=1,CHAR(10)&amp;IFERROR(INDEX('Agenda 2026'!$B$2:$B$376,MATCH(DATE(2026,6,10)*10+1,'Agenda 2026'!$S$2:$S$376,0)),""),"")&amp;IF(COUNTIFS('Agenda 2026'!$Q$2:$Q$376,DATE(2026,6,10),'Agenda 2026'!$M$2:$M$376,1)&gt;=2,CHAR(10)&amp;IFERROR(INDEX('Agenda 2026'!$B$2:$B$376,MATCH(DATE(2026,6,10)*10+2,'Agenda 2026'!$S$2:$S$376,0)),""),"")&amp;IF(COUNTIFS('Agenda 2026'!$Q$2:$Q$376,DATE(2026,6,10),'Agenda 2026'!$M$2:$M$376,1)&gt;=3,CHAR(10)&amp;IFERROR(INDEX('Agenda 2026'!$B$2:$B$376,MATCH(DATE(2026,6,10)*10+3,'Agenda 2026'!$S$2:$S$376,0)),""),"")&amp;IF(COUNTIFS('Agenda 2026'!$Q$2:$Q$376,DATE(2026,6,10),'Agenda 2026'!$M$2:$M$376,1)&gt;=4,CHAR(10)&amp;IFERROR(INDEX('Agenda 2026'!$B$2:$B$376,MATCH(DATE(2026,6,10)*10+4,'Agenda 2026'!$S$2:$S$376,0)),""),"")&amp;IF(COUNTIFS('Agenda 2026'!$Q$2:$Q$376,DATE(2026,6,10),'Agenda 2026'!$M$2:$M$376,1)&gt;=5,CHAR(10)&amp;IFERROR(INDEX('Agenda 2026'!$B$2:$B$376,MATCH(DATE(2026,6,10)*10+5,'Agenda 2026'!$S$2:$S$376,0)),""),"")&amp;IF(COUNTIFS('Agenda 2026'!$Q$2:$Q$376,DATE(2026,6,10),'Agenda 2026'!$M$2:$M$376,1)&gt;=6,CHAR(10)&amp;IFERROR(INDEX('Agenda 2026'!$B$2:$B$376,MATCH(DATE(2026,6,10)*10+6,'Agenda 2026'!$S$2:$S$376,0)),""),"")&amp;IF(COUNTIFS('Agenda 2026'!$Q$2:$Q$376,DATE(2026,6,10),'Agenda 2026'!$M$2:$M$376,1)&gt;=7,CHAR(10)&amp;IFERROR(INDEX('Agenda 2026'!$B$2:$B$376,MATCH(DATE(2026,6,10)*10+7,'Agenda 2026'!$S$2:$S$376,0)),""),"")&amp;IF(COUNTIFS('Agenda 2026'!$Q$2:$Q$376,DATE(2026,6,10),'Agenda 2026'!$M$2:$M$376,1)&gt;=8,CHAR(10)&amp;IFERROR(INDEX('Agenda 2026'!$B$2:$B$376,MATCH(DATE(2026,6,10)*10+8,'Agenda 2026'!$S$2:$S$376,0)),""),"")&amp;IF(COUNTIFS('Agenda 2026'!$Q$2:$Q$376,DATE(2026,6,10),'Agenda 2026'!$M$2:$M$376,1)&gt;=9,CHAR(10)&amp;IFERROR(INDEX('Agenda 2026'!$B$2:$B$376,MATCH(DATE(2026,6,10)*10+9,'Agenda 2026'!$S$2:$S$376,0)),""),"")&amp;IF(COUNTIFS('Agenda 2026'!$Q$2:$Q$376,DATE(2026,6,10),'Agenda 2026'!$M$2:$M$376,1)&gt;=10,CHAR(10)&amp;IFERROR(INDEX('Agenda 2026'!$B$2:$B$376,MATCH(DATE(2026,6,10)*10+10,'Agenda 2026'!$S$2:$S$376,0)),""),"")&amp;IF(COUNTIFS('Agenda 2026'!$Q$2:$Q$376,DATE(2026,6,10),'Agenda 2026'!$M$2:$M$376,1)&gt;=11,CHAR(10)&amp;IFERROR(INDEX('Agenda 2026'!$B$2:$B$376,MATCH(DATE(2026,6,10)*10+11,'Agenda 2026'!$S$2:$S$376,0)),""),"")&amp;IF(COUNTIFS('Agenda 2026'!$Q$2:$Q$376,DATE(2026,6,10),'Agenda 2026'!$M$2:$M$376,1)&gt;=12,CHAR(10)&amp;IFERROR(INDEX('Agenda 2026'!$B$2:$B$376,MATCH(DATE(2026,6,10)*10+12,'Agenda 2026'!$S$2:$S$376,0)),""),"")</f>
        <v>10</v>
      </c>
      <c r="E57" s="58" t="str">
        <f t="array" ref="E57">11&amp;IF(COUNTIFS('Agenda 2026'!$Q$2:$Q$376,DATE(2026,6,11),'Agenda 2026'!$M$2:$M$376,1)&gt;=1,CHAR(10)&amp;IFERROR(INDEX('Agenda 2026'!$B$2:$B$376,MATCH(DATE(2026,6,11)*10+1,'Agenda 2026'!$S$2:$S$376,0)),""),"")&amp;IF(COUNTIFS('Agenda 2026'!$Q$2:$Q$376,DATE(2026,6,11),'Agenda 2026'!$M$2:$M$376,1)&gt;=2,CHAR(10)&amp;IFERROR(INDEX('Agenda 2026'!$B$2:$B$376,MATCH(DATE(2026,6,11)*10+2,'Agenda 2026'!$S$2:$S$376,0)),""),"")&amp;IF(COUNTIFS('Agenda 2026'!$Q$2:$Q$376,DATE(2026,6,11),'Agenda 2026'!$M$2:$M$376,1)&gt;=3,CHAR(10)&amp;IFERROR(INDEX('Agenda 2026'!$B$2:$B$376,MATCH(DATE(2026,6,11)*10+3,'Agenda 2026'!$S$2:$S$376,0)),""),"")&amp;IF(COUNTIFS('Agenda 2026'!$Q$2:$Q$376,DATE(2026,6,11),'Agenda 2026'!$M$2:$M$376,1)&gt;=4,CHAR(10)&amp;IFERROR(INDEX('Agenda 2026'!$B$2:$B$376,MATCH(DATE(2026,6,11)*10+4,'Agenda 2026'!$S$2:$S$376,0)),""),"")&amp;IF(COUNTIFS('Agenda 2026'!$Q$2:$Q$376,DATE(2026,6,11),'Agenda 2026'!$M$2:$M$376,1)&gt;=5,CHAR(10)&amp;IFERROR(INDEX('Agenda 2026'!$B$2:$B$376,MATCH(DATE(2026,6,11)*10+5,'Agenda 2026'!$S$2:$S$376,0)),""),"")&amp;IF(COUNTIFS('Agenda 2026'!$Q$2:$Q$376,DATE(2026,6,11),'Agenda 2026'!$M$2:$M$376,1)&gt;=6,CHAR(10)&amp;IFERROR(INDEX('Agenda 2026'!$B$2:$B$376,MATCH(DATE(2026,6,11)*10+6,'Agenda 2026'!$S$2:$S$376,0)),""),"")&amp;IF(COUNTIFS('Agenda 2026'!$Q$2:$Q$376,DATE(2026,6,11),'Agenda 2026'!$M$2:$M$376,1)&gt;=7,CHAR(10)&amp;IFERROR(INDEX('Agenda 2026'!$B$2:$B$376,MATCH(DATE(2026,6,11)*10+7,'Agenda 2026'!$S$2:$S$376,0)),""),"")&amp;IF(COUNTIFS('Agenda 2026'!$Q$2:$Q$376,DATE(2026,6,11),'Agenda 2026'!$M$2:$M$376,1)&gt;=8,CHAR(10)&amp;IFERROR(INDEX('Agenda 2026'!$B$2:$B$376,MATCH(DATE(2026,6,11)*10+8,'Agenda 2026'!$S$2:$S$376,0)),""),"")&amp;IF(COUNTIFS('Agenda 2026'!$Q$2:$Q$376,DATE(2026,6,11),'Agenda 2026'!$M$2:$M$376,1)&gt;=9,CHAR(10)&amp;IFERROR(INDEX('Agenda 2026'!$B$2:$B$376,MATCH(DATE(2026,6,11)*10+9,'Agenda 2026'!$S$2:$S$376,0)),""),"")&amp;IF(COUNTIFS('Agenda 2026'!$Q$2:$Q$376,DATE(2026,6,11),'Agenda 2026'!$M$2:$M$376,1)&gt;=10,CHAR(10)&amp;IFERROR(INDEX('Agenda 2026'!$B$2:$B$376,MATCH(DATE(2026,6,11)*10+10,'Agenda 2026'!$S$2:$S$376,0)),""),"")&amp;IF(COUNTIFS('Agenda 2026'!$Q$2:$Q$376,DATE(2026,6,11),'Agenda 2026'!$M$2:$M$376,1)&gt;=11,CHAR(10)&amp;IFERROR(INDEX('Agenda 2026'!$B$2:$B$376,MATCH(DATE(2026,6,11)*10+11,'Agenda 2026'!$S$2:$S$376,0)),""),"")&amp;IF(COUNTIFS('Agenda 2026'!$Q$2:$Q$376,DATE(2026,6,11),'Agenda 2026'!$M$2:$M$376,1)&gt;=12,CHAR(10)&amp;IFERROR(INDEX('Agenda 2026'!$B$2:$B$376,MATCH(DATE(2026,6,11)*10+12,'Agenda 2026'!$S$2:$S$376,0)),""),"")</f>
        <v>11</v>
      </c>
      <c r="F57" s="58" t="str">
        <f t="array" ref="F57">12&amp;IF(COUNTIFS('Agenda 2026'!$Q$2:$Q$376,DATE(2026,6,12),'Agenda 2026'!$M$2:$M$376,1)&gt;=1,CHAR(10)&amp;IFERROR(INDEX('Agenda 2026'!$B$2:$B$376,MATCH(DATE(2026,6,12)*10+1,'Agenda 2026'!$S$2:$S$376,0)),""),"")&amp;IF(COUNTIFS('Agenda 2026'!$Q$2:$Q$376,DATE(2026,6,12),'Agenda 2026'!$M$2:$M$376,1)&gt;=2,CHAR(10)&amp;IFERROR(INDEX('Agenda 2026'!$B$2:$B$376,MATCH(DATE(2026,6,12)*10+2,'Agenda 2026'!$S$2:$S$376,0)),""),"")&amp;IF(COUNTIFS('Agenda 2026'!$Q$2:$Q$376,DATE(2026,6,12),'Agenda 2026'!$M$2:$M$376,1)&gt;=3,CHAR(10)&amp;IFERROR(INDEX('Agenda 2026'!$B$2:$B$376,MATCH(DATE(2026,6,12)*10+3,'Agenda 2026'!$S$2:$S$376,0)),""),"")&amp;IF(COUNTIFS('Agenda 2026'!$Q$2:$Q$376,DATE(2026,6,12),'Agenda 2026'!$M$2:$M$376,1)&gt;=4,CHAR(10)&amp;IFERROR(INDEX('Agenda 2026'!$B$2:$B$376,MATCH(DATE(2026,6,12)*10+4,'Agenda 2026'!$S$2:$S$376,0)),""),"")&amp;IF(COUNTIFS('Agenda 2026'!$Q$2:$Q$376,DATE(2026,6,12),'Agenda 2026'!$M$2:$M$376,1)&gt;=5,CHAR(10)&amp;IFERROR(INDEX('Agenda 2026'!$B$2:$B$376,MATCH(DATE(2026,6,12)*10+5,'Agenda 2026'!$S$2:$S$376,0)),""),"")&amp;IF(COUNTIFS('Agenda 2026'!$Q$2:$Q$376,DATE(2026,6,12),'Agenda 2026'!$M$2:$M$376,1)&gt;=6,CHAR(10)&amp;IFERROR(INDEX('Agenda 2026'!$B$2:$B$376,MATCH(DATE(2026,6,12)*10+6,'Agenda 2026'!$S$2:$S$376,0)),""),"")&amp;IF(COUNTIFS('Agenda 2026'!$Q$2:$Q$376,DATE(2026,6,12),'Agenda 2026'!$M$2:$M$376,1)&gt;=7,CHAR(10)&amp;IFERROR(INDEX('Agenda 2026'!$B$2:$B$376,MATCH(DATE(2026,6,12)*10+7,'Agenda 2026'!$S$2:$S$376,0)),""),"")&amp;IF(COUNTIFS('Agenda 2026'!$Q$2:$Q$376,DATE(2026,6,12),'Agenda 2026'!$M$2:$M$376,1)&gt;=8,CHAR(10)&amp;IFERROR(INDEX('Agenda 2026'!$B$2:$B$376,MATCH(DATE(2026,6,12)*10+8,'Agenda 2026'!$S$2:$S$376,0)),""),"")&amp;IF(COUNTIFS('Agenda 2026'!$Q$2:$Q$376,DATE(2026,6,12),'Agenda 2026'!$M$2:$M$376,1)&gt;=9,CHAR(10)&amp;IFERROR(INDEX('Agenda 2026'!$B$2:$B$376,MATCH(DATE(2026,6,12)*10+9,'Agenda 2026'!$S$2:$S$376,0)),""),"")&amp;IF(COUNTIFS('Agenda 2026'!$Q$2:$Q$376,DATE(2026,6,12),'Agenda 2026'!$M$2:$M$376,1)&gt;=10,CHAR(10)&amp;IFERROR(INDEX('Agenda 2026'!$B$2:$B$376,MATCH(DATE(2026,6,12)*10+10,'Agenda 2026'!$S$2:$S$376,0)),""),"")&amp;IF(COUNTIFS('Agenda 2026'!$Q$2:$Q$376,DATE(2026,6,12),'Agenda 2026'!$M$2:$M$376,1)&gt;=11,CHAR(10)&amp;IFERROR(INDEX('Agenda 2026'!$B$2:$B$376,MATCH(DATE(2026,6,12)*10+11,'Agenda 2026'!$S$2:$S$376,0)),""),"")&amp;IF(COUNTIFS('Agenda 2026'!$Q$2:$Q$376,DATE(2026,6,12),'Agenda 2026'!$M$2:$M$376,1)&gt;=12,CHAR(10)&amp;IFERROR(INDEX('Agenda 2026'!$B$2:$B$376,MATCH(DATE(2026,6,12)*10+12,'Agenda 2026'!$S$2:$S$376,0)),""),"")</f>
        <v>12</v>
      </c>
      <c r="G57" s="58" t="str">
        <f t="array" ref="G57">13&amp;IF(COUNTIFS('Agenda 2026'!$Q$2:$Q$376,DATE(2026,6,13),'Agenda 2026'!$M$2:$M$376,1)&gt;=1,CHAR(10)&amp;IFERROR(INDEX('Agenda 2026'!$B$2:$B$376,MATCH(DATE(2026,6,13)*10+1,'Agenda 2026'!$S$2:$S$376,0)),""),"")&amp;IF(COUNTIFS('Agenda 2026'!$Q$2:$Q$376,DATE(2026,6,13),'Agenda 2026'!$M$2:$M$376,1)&gt;=2,CHAR(10)&amp;IFERROR(INDEX('Agenda 2026'!$B$2:$B$376,MATCH(DATE(2026,6,13)*10+2,'Agenda 2026'!$S$2:$S$376,0)),""),"")&amp;IF(COUNTIFS('Agenda 2026'!$Q$2:$Q$376,DATE(2026,6,13),'Agenda 2026'!$M$2:$M$376,1)&gt;=3,CHAR(10)&amp;IFERROR(INDEX('Agenda 2026'!$B$2:$B$376,MATCH(DATE(2026,6,13)*10+3,'Agenda 2026'!$S$2:$S$376,0)),""),"")&amp;IF(COUNTIFS('Agenda 2026'!$Q$2:$Q$376,DATE(2026,6,13),'Agenda 2026'!$M$2:$M$376,1)&gt;=4,CHAR(10)&amp;IFERROR(INDEX('Agenda 2026'!$B$2:$B$376,MATCH(DATE(2026,6,13)*10+4,'Agenda 2026'!$S$2:$S$376,0)),""),"")&amp;IF(COUNTIFS('Agenda 2026'!$Q$2:$Q$376,DATE(2026,6,13),'Agenda 2026'!$M$2:$M$376,1)&gt;=5,CHAR(10)&amp;IFERROR(INDEX('Agenda 2026'!$B$2:$B$376,MATCH(DATE(2026,6,13)*10+5,'Agenda 2026'!$S$2:$S$376,0)),""),"")&amp;IF(COUNTIFS('Agenda 2026'!$Q$2:$Q$376,DATE(2026,6,13),'Agenda 2026'!$M$2:$M$376,1)&gt;=6,CHAR(10)&amp;IFERROR(INDEX('Agenda 2026'!$B$2:$B$376,MATCH(DATE(2026,6,13)*10+6,'Agenda 2026'!$S$2:$S$376,0)),""),"")&amp;IF(COUNTIFS('Agenda 2026'!$Q$2:$Q$376,DATE(2026,6,13),'Agenda 2026'!$M$2:$M$376,1)&gt;=7,CHAR(10)&amp;IFERROR(INDEX('Agenda 2026'!$B$2:$B$376,MATCH(DATE(2026,6,13)*10+7,'Agenda 2026'!$S$2:$S$376,0)),""),"")&amp;IF(COUNTIFS('Agenda 2026'!$Q$2:$Q$376,DATE(2026,6,13),'Agenda 2026'!$M$2:$M$376,1)&gt;=8,CHAR(10)&amp;IFERROR(INDEX('Agenda 2026'!$B$2:$B$376,MATCH(DATE(2026,6,13)*10+8,'Agenda 2026'!$S$2:$S$376,0)),""),"")&amp;IF(COUNTIFS('Agenda 2026'!$Q$2:$Q$376,DATE(2026,6,13),'Agenda 2026'!$M$2:$M$376,1)&gt;=9,CHAR(10)&amp;IFERROR(INDEX('Agenda 2026'!$B$2:$B$376,MATCH(DATE(2026,6,13)*10+9,'Agenda 2026'!$S$2:$S$376,0)),""),"")&amp;IF(COUNTIFS('Agenda 2026'!$Q$2:$Q$376,DATE(2026,6,13),'Agenda 2026'!$M$2:$M$376,1)&gt;=10,CHAR(10)&amp;IFERROR(INDEX('Agenda 2026'!$B$2:$B$376,MATCH(DATE(2026,6,13)*10+10,'Agenda 2026'!$S$2:$S$376,0)),""),"")&amp;IF(COUNTIFS('Agenda 2026'!$Q$2:$Q$376,DATE(2026,6,13),'Agenda 2026'!$M$2:$M$376,1)&gt;=11,CHAR(10)&amp;IFERROR(INDEX('Agenda 2026'!$B$2:$B$376,MATCH(DATE(2026,6,13)*10+11,'Agenda 2026'!$S$2:$S$376,0)),""),"")&amp;IF(COUNTIFS('Agenda 2026'!$Q$2:$Q$376,DATE(2026,6,13),'Agenda 2026'!$M$2:$M$376,1)&gt;=12,CHAR(10)&amp;IFERROR(INDEX('Agenda 2026'!$B$2:$B$376,MATCH(DATE(2026,6,13)*10+12,'Agenda 2026'!$S$2:$S$376,0)),""),"")</f>
        <v>13</v>
      </c>
      <c r="H57" s="58" t="str">
        <f t="array" ref="H57">14&amp;IF(COUNTIFS('Agenda 2026'!$Q$2:$Q$376,DATE(2026,6,14),'Agenda 2026'!$M$2:$M$376,1)&gt;=1,CHAR(10)&amp;IFERROR(INDEX('Agenda 2026'!$B$2:$B$376,MATCH(DATE(2026,6,14)*10+1,'Agenda 2026'!$S$2:$S$376,0)),""),"")&amp;IF(COUNTIFS('Agenda 2026'!$Q$2:$Q$376,DATE(2026,6,14),'Agenda 2026'!$M$2:$M$376,1)&gt;=2,CHAR(10)&amp;IFERROR(INDEX('Agenda 2026'!$B$2:$B$376,MATCH(DATE(2026,6,14)*10+2,'Agenda 2026'!$S$2:$S$376,0)),""),"")&amp;IF(COUNTIFS('Agenda 2026'!$Q$2:$Q$376,DATE(2026,6,14),'Agenda 2026'!$M$2:$M$376,1)&gt;=3,CHAR(10)&amp;IFERROR(INDEX('Agenda 2026'!$B$2:$B$376,MATCH(DATE(2026,6,14)*10+3,'Agenda 2026'!$S$2:$S$376,0)),""),"")&amp;IF(COUNTIFS('Agenda 2026'!$Q$2:$Q$376,DATE(2026,6,14),'Agenda 2026'!$M$2:$M$376,1)&gt;=4,CHAR(10)&amp;IFERROR(INDEX('Agenda 2026'!$B$2:$B$376,MATCH(DATE(2026,6,14)*10+4,'Agenda 2026'!$S$2:$S$376,0)),""),"")&amp;IF(COUNTIFS('Agenda 2026'!$Q$2:$Q$376,DATE(2026,6,14),'Agenda 2026'!$M$2:$M$376,1)&gt;=5,CHAR(10)&amp;IFERROR(INDEX('Agenda 2026'!$B$2:$B$376,MATCH(DATE(2026,6,14)*10+5,'Agenda 2026'!$S$2:$S$376,0)),""),"")&amp;IF(COUNTIFS('Agenda 2026'!$Q$2:$Q$376,DATE(2026,6,14),'Agenda 2026'!$M$2:$M$376,1)&gt;=6,CHAR(10)&amp;IFERROR(INDEX('Agenda 2026'!$B$2:$B$376,MATCH(DATE(2026,6,14)*10+6,'Agenda 2026'!$S$2:$S$376,0)),""),"")&amp;IF(COUNTIFS('Agenda 2026'!$Q$2:$Q$376,DATE(2026,6,14),'Agenda 2026'!$M$2:$M$376,1)&gt;=7,CHAR(10)&amp;IFERROR(INDEX('Agenda 2026'!$B$2:$B$376,MATCH(DATE(2026,6,14)*10+7,'Agenda 2026'!$S$2:$S$376,0)),""),"")&amp;IF(COUNTIFS('Agenda 2026'!$Q$2:$Q$376,DATE(2026,6,14),'Agenda 2026'!$M$2:$M$376,1)&gt;=8,CHAR(10)&amp;IFERROR(INDEX('Agenda 2026'!$B$2:$B$376,MATCH(DATE(2026,6,14)*10+8,'Agenda 2026'!$S$2:$S$376,0)),""),"")&amp;IF(COUNTIFS('Agenda 2026'!$Q$2:$Q$376,DATE(2026,6,14),'Agenda 2026'!$M$2:$M$376,1)&gt;=9,CHAR(10)&amp;IFERROR(INDEX('Agenda 2026'!$B$2:$B$376,MATCH(DATE(2026,6,14)*10+9,'Agenda 2026'!$S$2:$S$376,0)),""),"")&amp;IF(COUNTIFS('Agenda 2026'!$Q$2:$Q$376,DATE(2026,6,14),'Agenda 2026'!$M$2:$M$376,1)&gt;=10,CHAR(10)&amp;IFERROR(INDEX('Agenda 2026'!$B$2:$B$376,MATCH(DATE(2026,6,14)*10+10,'Agenda 2026'!$S$2:$S$376,0)),""),"")&amp;IF(COUNTIFS('Agenda 2026'!$Q$2:$Q$376,DATE(2026,6,14),'Agenda 2026'!$M$2:$M$376,1)&gt;=11,CHAR(10)&amp;IFERROR(INDEX('Agenda 2026'!$B$2:$B$376,MATCH(DATE(2026,6,14)*10+11,'Agenda 2026'!$S$2:$S$376,0)),""),"")&amp;IF(COUNTIFS('Agenda 2026'!$Q$2:$Q$376,DATE(2026,6,14),'Agenda 2026'!$M$2:$M$376,1)&gt;=12,CHAR(10)&amp;IFERROR(INDEX('Agenda 2026'!$B$2:$B$376,MATCH(DATE(2026,6,14)*10+12,'Agenda 2026'!$S$2:$S$376,0)),""),"")</f>
        <v>14</v>
      </c>
    </row>
    <row r="58" spans="1:8" ht="57.75" customHeight="1" x14ac:dyDescent="0.35">
      <c r="A58" s="17"/>
      <c r="B58" s="58" t="str">
        <f t="array" ref="B58">15&amp;IF(COUNTIFS('Agenda 2026'!$Q$2:$Q$376,DATE(2026,6,15),'Agenda 2026'!$M$2:$M$376,1)&gt;=1,CHAR(10)&amp;IFERROR(INDEX('Agenda 2026'!$B$2:$B$376,MATCH(DATE(2026,6,15)*10+1,'Agenda 2026'!$S$2:$S$376,0)),""),"")&amp;IF(COUNTIFS('Agenda 2026'!$Q$2:$Q$376,DATE(2026,6,15),'Agenda 2026'!$M$2:$M$376,1)&gt;=2,CHAR(10)&amp;IFERROR(INDEX('Agenda 2026'!$B$2:$B$376,MATCH(DATE(2026,6,15)*10+2,'Agenda 2026'!$S$2:$S$376,0)),""),"")&amp;IF(COUNTIFS('Agenda 2026'!$Q$2:$Q$376,DATE(2026,6,15),'Agenda 2026'!$M$2:$M$376,1)&gt;=3,CHAR(10)&amp;IFERROR(INDEX('Agenda 2026'!$B$2:$B$376,MATCH(DATE(2026,6,15)*10+3,'Agenda 2026'!$S$2:$S$376,0)),""),"")&amp;IF(COUNTIFS('Agenda 2026'!$Q$2:$Q$376,DATE(2026,6,15),'Agenda 2026'!$M$2:$M$376,1)&gt;=4,CHAR(10)&amp;IFERROR(INDEX('Agenda 2026'!$B$2:$B$376,MATCH(DATE(2026,6,15)*10+4,'Agenda 2026'!$S$2:$S$376,0)),""),"")&amp;IF(COUNTIFS('Agenda 2026'!$Q$2:$Q$376,DATE(2026,6,15),'Agenda 2026'!$M$2:$M$376,1)&gt;=5,CHAR(10)&amp;IFERROR(INDEX('Agenda 2026'!$B$2:$B$376,MATCH(DATE(2026,6,15)*10+5,'Agenda 2026'!$S$2:$S$376,0)),""),"")&amp;IF(COUNTIFS('Agenda 2026'!$Q$2:$Q$376,DATE(2026,6,15),'Agenda 2026'!$M$2:$M$376,1)&gt;=6,CHAR(10)&amp;IFERROR(INDEX('Agenda 2026'!$B$2:$B$376,MATCH(DATE(2026,6,15)*10+6,'Agenda 2026'!$S$2:$S$376,0)),""),"")&amp;IF(COUNTIFS('Agenda 2026'!$Q$2:$Q$376,DATE(2026,6,15),'Agenda 2026'!$M$2:$M$376,1)&gt;=7,CHAR(10)&amp;IFERROR(INDEX('Agenda 2026'!$B$2:$B$376,MATCH(DATE(2026,6,15)*10+7,'Agenda 2026'!$S$2:$S$376,0)),""),"")&amp;IF(COUNTIFS('Agenda 2026'!$Q$2:$Q$376,DATE(2026,6,15),'Agenda 2026'!$M$2:$M$376,1)&gt;=8,CHAR(10)&amp;IFERROR(INDEX('Agenda 2026'!$B$2:$B$376,MATCH(DATE(2026,6,15)*10+8,'Agenda 2026'!$S$2:$S$376,0)),""),"")&amp;IF(COUNTIFS('Agenda 2026'!$Q$2:$Q$376,DATE(2026,6,15),'Agenda 2026'!$M$2:$M$376,1)&gt;=9,CHAR(10)&amp;IFERROR(INDEX('Agenda 2026'!$B$2:$B$376,MATCH(DATE(2026,6,15)*10+9,'Agenda 2026'!$S$2:$S$376,0)),""),"")&amp;IF(COUNTIFS('Agenda 2026'!$Q$2:$Q$376,DATE(2026,6,15),'Agenda 2026'!$M$2:$M$376,1)&gt;=10,CHAR(10)&amp;IFERROR(INDEX('Agenda 2026'!$B$2:$B$376,MATCH(DATE(2026,6,15)*10+10,'Agenda 2026'!$S$2:$S$376,0)),""),"")&amp;IF(COUNTIFS('Agenda 2026'!$Q$2:$Q$376,DATE(2026,6,15),'Agenda 2026'!$M$2:$M$376,1)&gt;=11,CHAR(10)&amp;IFERROR(INDEX('Agenda 2026'!$B$2:$B$376,MATCH(DATE(2026,6,15)*10+11,'Agenda 2026'!$S$2:$S$376,0)),""),"")&amp;IF(COUNTIFS('Agenda 2026'!$Q$2:$Q$376,DATE(2026,6,15),'Agenda 2026'!$M$2:$M$376,1)&gt;=12,CHAR(10)&amp;IFERROR(INDEX('Agenda 2026'!$B$2:$B$376,MATCH(DATE(2026,6,15)*10+12,'Agenda 2026'!$S$2:$S$376,0)),""),"")</f>
        <v>15</v>
      </c>
      <c r="C58" s="58" t="str">
        <f t="array" ref="C58">16&amp;IF(COUNTIFS('Agenda 2026'!$Q$2:$Q$376,DATE(2026,6,16),'Agenda 2026'!$M$2:$M$376,1)&gt;=1,CHAR(10)&amp;IFERROR(INDEX('Agenda 2026'!$B$2:$B$376,MATCH(DATE(2026,6,16)*10+1,'Agenda 2026'!$S$2:$S$376,0)),""),"")&amp;IF(COUNTIFS('Agenda 2026'!$Q$2:$Q$376,DATE(2026,6,16),'Agenda 2026'!$M$2:$M$376,1)&gt;=2,CHAR(10)&amp;IFERROR(INDEX('Agenda 2026'!$B$2:$B$376,MATCH(DATE(2026,6,16)*10+2,'Agenda 2026'!$S$2:$S$376,0)),""),"")&amp;IF(COUNTIFS('Agenda 2026'!$Q$2:$Q$376,DATE(2026,6,16),'Agenda 2026'!$M$2:$M$376,1)&gt;=3,CHAR(10)&amp;IFERROR(INDEX('Agenda 2026'!$B$2:$B$376,MATCH(DATE(2026,6,16)*10+3,'Agenda 2026'!$S$2:$S$376,0)),""),"")&amp;IF(COUNTIFS('Agenda 2026'!$Q$2:$Q$376,DATE(2026,6,16),'Agenda 2026'!$M$2:$M$376,1)&gt;=4,CHAR(10)&amp;IFERROR(INDEX('Agenda 2026'!$B$2:$B$376,MATCH(DATE(2026,6,16)*10+4,'Agenda 2026'!$S$2:$S$376,0)),""),"")&amp;IF(COUNTIFS('Agenda 2026'!$Q$2:$Q$376,DATE(2026,6,16),'Agenda 2026'!$M$2:$M$376,1)&gt;=5,CHAR(10)&amp;IFERROR(INDEX('Agenda 2026'!$B$2:$B$376,MATCH(DATE(2026,6,16)*10+5,'Agenda 2026'!$S$2:$S$376,0)),""),"")&amp;IF(COUNTIFS('Agenda 2026'!$Q$2:$Q$376,DATE(2026,6,16),'Agenda 2026'!$M$2:$M$376,1)&gt;=6,CHAR(10)&amp;IFERROR(INDEX('Agenda 2026'!$B$2:$B$376,MATCH(DATE(2026,6,16)*10+6,'Agenda 2026'!$S$2:$S$376,0)),""),"")&amp;IF(COUNTIFS('Agenda 2026'!$Q$2:$Q$376,DATE(2026,6,16),'Agenda 2026'!$M$2:$M$376,1)&gt;=7,CHAR(10)&amp;IFERROR(INDEX('Agenda 2026'!$B$2:$B$376,MATCH(DATE(2026,6,16)*10+7,'Agenda 2026'!$S$2:$S$376,0)),""),"")&amp;IF(COUNTIFS('Agenda 2026'!$Q$2:$Q$376,DATE(2026,6,16),'Agenda 2026'!$M$2:$M$376,1)&gt;=8,CHAR(10)&amp;IFERROR(INDEX('Agenda 2026'!$B$2:$B$376,MATCH(DATE(2026,6,16)*10+8,'Agenda 2026'!$S$2:$S$376,0)),""),"")&amp;IF(COUNTIFS('Agenda 2026'!$Q$2:$Q$376,DATE(2026,6,16),'Agenda 2026'!$M$2:$M$376,1)&gt;=9,CHAR(10)&amp;IFERROR(INDEX('Agenda 2026'!$B$2:$B$376,MATCH(DATE(2026,6,16)*10+9,'Agenda 2026'!$S$2:$S$376,0)),""),"")&amp;IF(COUNTIFS('Agenda 2026'!$Q$2:$Q$376,DATE(2026,6,16),'Agenda 2026'!$M$2:$M$376,1)&gt;=10,CHAR(10)&amp;IFERROR(INDEX('Agenda 2026'!$B$2:$B$376,MATCH(DATE(2026,6,16)*10+10,'Agenda 2026'!$S$2:$S$376,0)),""),"")&amp;IF(COUNTIFS('Agenda 2026'!$Q$2:$Q$376,DATE(2026,6,16),'Agenda 2026'!$M$2:$M$376,1)&gt;=11,CHAR(10)&amp;IFERROR(INDEX('Agenda 2026'!$B$2:$B$376,MATCH(DATE(2026,6,16)*10+11,'Agenda 2026'!$S$2:$S$376,0)),""),"")&amp;IF(COUNTIFS('Agenda 2026'!$Q$2:$Q$376,DATE(2026,6,16),'Agenda 2026'!$M$2:$M$376,1)&gt;=12,CHAR(10)&amp;IFERROR(INDEX('Agenda 2026'!$B$2:$B$376,MATCH(DATE(2026,6,16)*10+12,'Agenda 2026'!$S$2:$S$376,0)),""),"")</f>
        <v>16</v>
      </c>
      <c r="D58" s="58" t="str">
        <f t="array" ref="D58">17&amp;IF(COUNTIFS('Agenda 2026'!$Q$2:$Q$376,DATE(2026,6,17),'Agenda 2026'!$M$2:$M$376,1)&gt;=1,CHAR(10)&amp;IFERROR(INDEX('Agenda 2026'!$B$2:$B$376,MATCH(DATE(2026,6,17)*10+1,'Agenda 2026'!$S$2:$S$376,0)),""),"")&amp;IF(COUNTIFS('Agenda 2026'!$Q$2:$Q$376,DATE(2026,6,17),'Agenda 2026'!$M$2:$M$376,1)&gt;=2,CHAR(10)&amp;IFERROR(INDEX('Agenda 2026'!$B$2:$B$376,MATCH(DATE(2026,6,17)*10+2,'Agenda 2026'!$S$2:$S$376,0)),""),"")&amp;IF(COUNTIFS('Agenda 2026'!$Q$2:$Q$376,DATE(2026,6,17),'Agenda 2026'!$M$2:$M$376,1)&gt;=3,CHAR(10)&amp;IFERROR(INDEX('Agenda 2026'!$B$2:$B$376,MATCH(DATE(2026,6,17)*10+3,'Agenda 2026'!$S$2:$S$376,0)),""),"")&amp;IF(COUNTIFS('Agenda 2026'!$Q$2:$Q$376,DATE(2026,6,17),'Agenda 2026'!$M$2:$M$376,1)&gt;=4,CHAR(10)&amp;IFERROR(INDEX('Agenda 2026'!$B$2:$B$376,MATCH(DATE(2026,6,17)*10+4,'Agenda 2026'!$S$2:$S$376,0)),""),"")&amp;IF(COUNTIFS('Agenda 2026'!$Q$2:$Q$376,DATE(2026,6,17),'Agenda 2026'!$M$2:$M$376,1)&gt;=5,CHAR(10)&amp;IFERROR(INDEX('Agenda 2026'!$B$2:$B$376,MATCH(DATE(2026,6,17)*10+5,'Agenda 2026'!$S$2:$S$376,0)),""),"")&amp;IF(COUNTIFS('Agenda 2026'!$Q$2:$Q$376,DATE(2026,6,17),'Agenda 2026'!$M$2:$M$376,1)&gt;=6,CHAR(10)&amp;IFERROR(INDEX('Agenda 2026'!$B$2:$B$376,MATCH(DATE(2026,6,17)*10+6,'Agenda 2026'!$S$2:$S$376,0)),""),"")&amp;IF(COUNTIFS('Agenda 2026'!$Q$2:$Q$376,DATE(2026,6,17),'Agenda 2026'!$M$2:$M$376,1)&gt;=7,CHAR(10)&amp;IFERROR(INDEX('Agenda 2026'!$B$2:$B$376,MATCH(DATE(2026,6,17)*10+7,'Agenda 2026'!$S$2:$S$376,0)),""),"")&amp;IF(COUNTIFS('Agenda 2026'!$Q$2:$Q$376,DATE(2026,6,17),'Agenda 2026'!$M$2:$M$376,1)&gt;=8,CHAR(10)&amp;IFERROR(INDEX('Agenda 2026'!$B$2:$B$376,MATCH(DATE(2026,6,17)*10+8,'Agenda 2026'!$S$2:$S$376,0)),""),"")&amp;IF(COUNTIFS('Agenda 2026'!$Q$2:$Q$376,DATE(2026,6,17),'Agenda 2026'!$M$2:$M$376,1)&gt;=9,CHAR(10)&amp;IFERROR(INDEX('Agenda 2026'!$B$2:$B$376,MATCH(DATE(2026,6,17)*10+9,'Agenda 2026'!$S$2:$S$376,0)),""),"")&amp;IF(COUNTIFS('Agenda 2026'!$Q$2:$Q$376,DATE(2026,6,17),'Agenda 2026'!$M$2:$M$376,1)&gt;=10,CHAR(10)&amp;IFERROR(INDEX('Agenda 2026'!$B$2:$B$376,MATCH(DATE(2026,6,17)*10+10,'Agenda 2026'!$S$2:$S$376,0)),""),"")&amp;IF(COUNTIFS('Agenda 2026'!$Q$2:$Q$376,DATE(2026,6,17),'Agenda 2026'!$M$2:$M$376,1)&gt;=11,CHAR(10)&amp;IFERROR(INDEX('Agenda 2026'!$B$2:$B$376,MATCH(DATE(2026,6,17)*10+11,'Agenda 2026'!$S$2:$S$376,0)),""),"")&amp;IF(COUNTIFS('Agenda 2026'!$Q$2:$Q$376,DATE(2026,6,17),'Agenda 2026'!$M$2:$M$376,1)&gt;=12,CHAR(10)&amp;IFERROR(INDEX('Agenda 2026'!$B$2:$B$376,MATCH(DATE(2026,6,17)*10+12,'Agenda 2026'!$S$2:$S$376,0)),""),"")</f>
        <v>17</v>
      </c>
      <c r="E58" s="58" t="str">
        <f t="array" ref="E58">18&amp;IF(COUNTIFS('Agenda 2026'!$Q$2:$Q$376,DATE(2026,6,18),'Agenda 2026'!$M$2:$M$376,1)&gt;=1,CHAR(10)&amp;IFERROR(INDEX('Agenda 2026'!$B$2:$B$376,MATCH(DATE(2026,6,18)*10+1,'Agenda 2026'!$S$2:$S$376,0)),""),"")&amp;IF(COUNTIFS('Agenda 2026'!$Q$2:$Q$376,DATE(2026,6,18),'Agenda 2026'!$M$2:$M$376,1)&gt;=2,CHAR(10)&amp;IFERROR(INDEX('Agenda 2026'!$B$2:$B$376,MATCH(DATE(2026,6,18)*10+2,'Agenda 2026'!$S$2:$S$376,0)),""),"")&amp;IF(COUNTIFS('Agenda 2026'!$Q$2:$Q$376,DATE(2026,6,18),'Agenda 2026'!$M$2:$M$376,1)&gt;=3,CHAR(10)&amp;IFERROR(INDEX('Agenda 2026'!$B$2:$B$376,MATCH(DATE(2026,6,18)*10+3,'Agenda 2026'!$S$2:$S$376,0)),""),"")&amp;IF(COUNTIFS('Agenda 2026'!$Q$2:$Q$376,DATE(2026,6,18),'Agenda 2026'!$M$2:$M$376,1)&gt;=4,CHAR(10)&amp;IFERROR(INDEX('Agenda 2026'!$B$2:$B$376,MATCH(DATE(2026,6,18)*10+4,'Agenda 2026'!$S$2:$S$376,0)),""),"")&amp;IF(COUNTIFS('Agenda 2026'!$Q$2:$Q$376,DATE(2026,6,18),'Agenda 2026'!$M$2:$M$376,1)&gt;=5,CHAR(10)&amp;IFERROR(INDEX('Agenda 2026'!$B$2:$B$376,MATCH(DATE(2026,6,18)*10+5,'Agenda 2026'!$S$2:$S$376,0)),""),"")&amp;IF(COUNTIFS('Agenda 2026'!$Q$2:$Q$376,DATE(2026,6,18),'Agenda 2026'!$M$2:$M$376,1)&gt;=6,CHAR(10)&amp;IFERROR(INDEX('Agenda 2026'!$B$2:$B$376,MATCH(DATE(2026,6,18)*10+6,'Agenda 2026'!$S$2:$S$376,0)),""),"")&amp;IF(COUNTIFS('Agenda 2026'!$Q$2:$Q$376,DATE(2026,6,18),'Agenda 2026'!$M$2:$M$376,1)&gt;=7,CHAR(10)&amp;IFERROR(INDEX('Agenda 2026'!$B$2:$B$376,MATCH(DATE(2026,6,18)*10+7,'Agenda 2026'!$S$2:$S$376,0)),""),"")&amp;IF(COUNTIFS('Agenda 2026'!$Q$2:$Q$376,DATE(2026,6,18),'Agenda 2026'!$M$2:$M$376,1)&gt;=8,CHAR(10)&amp;IFERROR(INDEX('Agenda 2026'!$B$2:$B$376,MATCH(DATE(2026,6,18)*10+8,'Agenda 2026'!$S$2:$S$376,0)),""),"")&amp;IF(COUNTIFS('Agenda 2026'!$Q$2:$Q$376,DATE(2026,6,18),'Agenda 2026'!$M$2:$M$376,1)&gt;=9,CHAR(10)&amp;IFERROR(INDEX('Agenda 2026'!$B$2:$B$376,MATCH(DATE(2026,6,18)*10+9,'Agenda 2026'!$S$2:$S$376,0)),""),"")&amp;IF(COUNTIFS('Agenda 2026'!$Q$2:$Q$376,DATE(2026,6,18),'Agenda 2026'!$M$2:$M$376,1)&gt;=10,CHAR(10)&amp;IFERROR(INDEX('Agenda 2026'!$B$2:$B$376,MATCH(DATE(2026,6,18)*10+10,'Agenda 2026'!$S$2:$S$376,0)),""),"")&amp;IF(COUNTIFS('Agenda 2026'!$Q$2:$Q$376,DATE(2026,6,18),'Agenda 2026'!$M$2:$M$376,1)&gt;=11,CHAR(10)&amp;IFERROR(INDEX('Agenda 2026'!$B$2:$B$376,MATCH(DATE(2026,6,18)*10+11,'Agenda 2026'!$S$2:$S$376,0)),""),"")&amp;IF(COUNTIFS('Agenda 2026'!$Q$2:$Q$376,DATE(2026,6,18),'Agenda 2026'!$M$2:$M$376,1)&gt;=12,CHAR(10)&amp;IFERROR(INDEX('Agenda 2026'!$B$2:$B$376,MATCH(DATE(2026,6,18)*10+12,'Agenda 2026'!$S$2:$S$376,0)),""),"")</f>
        <v>18</v>
      </c>
      <c r="F58" s="58" t="str">
        <f t="array" ref="F58">19&amp;IF(COUNTIFS('Agenda 2026'!$Q$2:$Q$376,DATE(2026,6,19),'Agenda 2026'!$M$2:$M$376,1)&gt;=1,CHAR(10)&amp;IFERROR(INDEX('Agenda 2026'!$B$2:$B$376,MATCH(DATE(2026,6,19)*10+1,'Agenda 2026'!$S$2:$S$376,0)),""),"")&amp;IF(COUNTIFS('Agenda 2026'!$Q$2:$Q$376,DATE(2026,6,19),'Agenda 2026'!$M$2:$M$376,1)&gt;=2,CHAR(10)&amp;IFERROR(INDEX('Agenda 2026'!$B$2:$B$376,MATCH(DATE(2026,6,19)*10+2,'Agenda 2026'!$S$2:$S$376,0)),""),"")&amp;IF(COUNTIFS('Agenda 2026'!$Q$2:$Q$376,DATE(2026,6,19),'Agenda 2026'!$M$2:$M$376,1)&gt;=3,CHAR(10)&amp;IFERROR(INDEX('Agenda 2026'!$B$2:$B$376,MATCH(DATE(2026,6,19)*10+3,'Agenda 2026'!$S$2:$S$376,0)),""),"")&amp;IF(COUNTIFS('Agenda 2026'!$Q$2:$Q$376,DATE(2026,6,19),'Agenda 2026'!$M$2:$M$376,1)&gt;=4,CHAR(10)&amp;IFERROR(INDEX('Agenda 2026'!$B$2:$B$376,MATCH(DATE(2026,6,19)*10+4,'Agenda 2026'!$S$2:$S$376,0)),""),"")&amp;IF(COUNTIFS('Agenda 2026'!$Q$2:$Q$376,DATE(2026,6,19),'Agenda 2026'!$M$2:$M$376,1)&gt;=5,CHAR(10)&amp;IFERROR(INDEX('Agenda 2026'!$B$2:$B$376,MATCH(DATE(2026,6,19)*10+5,'Agenda 2026'!$S$2:$S$376,0)),""),"")&amp;IF(COUNTIFS('Agenda 2026'!$Q$2:$Q$376,DATE(2026,6,19),'Agenda 2026'!$M$2:$M$376,1)&gt;=6,CHAR(10)&amp;IFERROR(INDEX('Agenda 2026'!$B$2:$B$376,MATCH(DATE(2026,6,19)*10+6,'Agenda 2026'!$S$2:$S$376,0)),""),"")&amp;IF(COUNTIFS('Agenda 2026'!$Q$2:$Q$376,DATE(2026,6,19),'Agenda 2026'!$M$2:$M$376,1)&gt;=7,CHAR(10)&amp;IFERROR(INDEX('Agenda 2026'!$B$2:$B$376,MATCH(DATE(2026,6,19)*10+7,'Agenda 2026'!$S$2:$S$376,0)),""),"")&amp;IF(COUNTIFS('Agenda 2026'!$Q$2:$Q$376,DATE(2026,6,19),'Agenda 2026'!$M$2:$M$376,1)&gt;=8,CHAR(10)&amp;IFERROR(INDEX('Agenda 2026'!$B$2:$B$376,MATCH(DATE(2026,6,19)*10+8,'Agenda 2026'!$S$2:$S$376,0)),""),"")&amp;IF(COUNTIFS('Agenda 2026'!$Q$2:$Q$376,DATE(2026,6,19),'Agenda 2026'!$M$2:$M$376,1)&gt;=9,CHAR(10)&amp;IFERROR(INDEX('Agenda 2026'!$B$2:$B$376,MATCH(DATE(2026,6,19)*10+9,'Agenda 2026'!$S$2:$S$376,0)),""),"")&amp;IF(COUNTIFS('Agenda 2026'!$Q$2:$Q$376,DATE(2026,6,19),'Agenda 2026'!$M$2:$M$376,1)&gt;=10,CHAR(10)&amp;IFERROR(INDEX('Agenda 2026'!$B$2:$B$376,MATCH(DATE(2026,6,19)*10+10,'Agenda 2026'!$S$2:$S$376,0)),""),"")&amp;IF(COUNTIFS('Agenda 2026'!$Q$2:$Q$376,DATE(2026,6,19),'Agenda 2026'!$M$2:$M$376,1)&gt;=11,CHAR(10)&amp;IFERROR(INDEX('Agenda 2026'!$B$2:$B$376,MATCH(DATE(2026,6,19)*10+11,'Agenda 2026'!$S$2:$S$376,0)),""),"")&amp;IF(COUNTIFS('Agenda 2026'!$Q$2:$Q$376,DATE(2026,6,19),'Agenda 2026'!$M$2:$M$376,1)&gt;=12,CHAR(10)&amp;IFERROR(INDEX('Agenda 2026'!$B$2:$B$376,MATCH(DATE(2026,6,19)*10+12,'Agenda 2026'!$S$2:$S$376,0)),""),"")</f>
        <v>19</v>
      </c>
      <c r="G58" s="58" t="str">
        <f t="array" ref="G58">20&amp;IF(COUNTIFS('Agenda 2026'!$Q$2:$Q$376,DATE(2026,6,20),'Agenda 2026'!$M$2:$M$376,1)&gt;=1,CHAR(10)&amp;IFERROR(INDEX('Agenda 2026'!$B$2:$B$376,MATCH(DATE(2026,6,20)*10+1,'Agenda 2026'!$S$2:$S$376,0)),""),"")&amp;IF(COUNTIFS('Agenda 2026'!$Q$2:$Q$376,DATE(2026,6,20),'Agenda 2026'!$M$2:$M$376,1)&gt;=2,CHAR(10)&amp;IFERROR(INDEX('Agenda 2026'!$B$2:$B$376,MATCH(DATE(2026,6,20)*10+2,'Agenda 2026'!$S$2:$S$376,0)),""),"")&amp;IF(COUNTIFS('Agenda 2026'!$Q$2:$Q$376,DATE(2026,6,20),'Agenda 2026'!$M$2:$M$376,1)&gt;=3,CHAR(10)&amp;IFERROR(INDEX('Agenda 2026'!$B$2:$B$376,MATCH(DATE(2026,6,20)*10+3,'Agenda 2026'!$S$2:$S$376,0)),""),"")&amp;IF(COUNTIFS('Agenda 2026'!$Q$2:$Q$376,DATE(2026,6,20),'Agenda 2026'!$M$2:$M$376,1)&gt;=4,CHAR(10)&amp;IFERROR(INDEX('Agenda 2026'!$B$2:$B$376,MATCH(DATE(2026,6,20)*10+4,'Agenda 2026'!$S$2:$S$376,0)),""),"")&amp;IF(COUNTIFS('Agenda 2026'!$Q$2:$Q$376,DATE(2026,6,20),'Agenda 2026'!$M$2:$M$376,1)&gt;=5,CHAR(10)&amp;IFERROR(INDEX('Agenda 2026'!$B$2:$B$376,MATCH(DATE(2026,6,20)*10+5,'Agenda 2026'!$S$2:$S$376,0)),""),"")&amp;IF(COUNTIFS('Agenda 2026'!$Q$2:$Q$376,DATE(2026,6,20),'Agenda 2026'!$M$2:$M$376,1)&gt;=6,CHAR(10)&amp;IFERROR(INDEX('Agenda 2026'!$B$2:$B$376,MATCH(DATE(2026,6,20)*10+6,'Agenda 2026'!$S$2:$S$376,0)),""),"")&amp;IF(COUNTIFS('Agenda 2026'!$Q$2:$Q$376,DATE(2026,6,20),'Agenda 2026'!$M$2:$M$376,1)&gt;=7,CHAR(10)&amp;IFERROR(INDEX('Agenda 2026'!$B$2:$B$376,MATCH(DATE(2026,6,20)*10+7,'Agenda 2026'!$S$2:$S$376,0)),""),"")&amp;IF(COUNTIFS('Agenda 2026'!$Q$2:$Q$376,DATE(2026,6,20),'Agenda 2026'!$M$2:$M$376,1)&gt;=8,CHAR(10)&amp;IFERROR(INDEX('Agenda 2026'!$B$2:$B$376,MATCH(DATE(2026,6,20)*10+8,'Agenda 2026'!$S$2:$S$376,0)),""),"")&amp;IF(COUNTIFS('Agenda 2026'!$Q$2:$Q$376,DATE(2026,6,20),'Agenda 2026'!$M$2:$M$376,1)&gt;=9,CHAR(10)&amp;IFERROR(INDEX('Agenda 2026'!$B$2:$B$376,MATCH(DATE(2026,6,20)*10+9,'Agenda 2026'!$S$2:$S$376,0)),""),"")&amp;IF(COUNTIFS('Agenda 2026'!$Q$2:$Q$376,DATE(2026,6,20),'Agenda 2026'!$M$2:$M$376,1)&gt;=10,CHAR(10)&amp;IFERROR(INDEX('Agenda 2026'!$B$2:$B$376,MATCH(DATE(2026,6,20)*10+10,'Agenda 2026'!$S$2:$S$376,0)),""),"")&amp;IF(COUNTIFS('Agenda 2026'!$Q$2:$Q$376,DATE(2026,6,20),'Agenda 2026'!$M$2:$M$376,1)&gt;=11,CHAR(10)&amp;IFERROR(INDEX('Agenda 2026'!$B$2:$B$376,MATCH(DATE(2026,6,20)*10+11,'Agenda 2026'!$S$2:$S$376,0)),""),"")&amp;IF(COUNTIFS('Agenda 2026'!$Q$2:$Q$376,DATE(2026,6,20),'Agenda 2026'!$M$2:$M$376,1)&gt;=12,CHAR(10)&amp;IFERROR(INDEX('Agenda 2026'!$B$2:$B$376,MATCH(DATE(2026,6,20)*10+12,'Agenda 2026'!$S$2:$S$376,0)),""),"")</f>
        <v>20</v>
      </c>
      <c r="H58" s="58" t="str">
        <f t="array" ref="H58">21&amp;IF(COUNTIFS('Agenda 2026'!$Q$2:$Q$376,DATE(2026,6,21),'Agenda 2026'!$M$2:$M$376,1)&gt;=1,CHAR(10)&amp;IFERROR(INDEX('Agenda 2026'!$B$2:$B$376,MATCH(DATE(2026,6,21)*10+1,'Agenda 2026'!$S$2:$S$376,0)),""),"")&amp;IF(COUNTIFS('Agenda 2026'!$Q$2:$Q$376,DATE(2026,6,21),'Agenda 2026'!$M$2:$M$376,1)&gt;=2,CHAR(10)&amp;IFERROR(INDEX('Agenda 2026'!$B$2:$B$376,MATCH(DATE(2026,6,21)*10+2,'Agenda 2026'!$S$2:$S$376,0)),""),"")&amp;IF(COUNTIFS('Agenda 2026'!$Q$2:$Q$376,DATE(2026,6,21),'Agenda 2026'!$M$2:$M$376,1)&gt;=3,CHAR(10)&amp;IFERROR(INDEX('Agenda 2026'!$B$2:$B$376,MATCH(DATE(2026,6,21)*10+3,'Agenda 2026'!$S$2:$S$376,0)),""),"")&amp;IF(COUNTIFS('Agenda 2026'!$Q$2:$Q$376,DATE(2026,6,21),'Agenda 2026'!$M$2:$M$376,1)&gt;=4,CHAR(10)&amp;IFERROR(INDEX('Agenda 2026'!$B$2:$B$376,MATCH(DATE(2026,6,21)*10+4,'Agenda 2026'!$S$2:$S$376,0)),""),"")&amp;IF(COUNTIFS('Agenda 2026'!$Q$2:$Q$376,DATE(2026,6,21),'Agenda 2026'!$M$2:$M$376,1)&gt;=5,CHAR(10)&amp;IFERROR(INDEX('Agenda 2026'!$B$2:$B$376,MATCH(DATE(2026,6,21)*10+5,'Agenda 2026'!$S$2:$S$376,0)),""),"")&amp;IF(COUNTIFS('Agenda 2026'!$Q$2:$Q$376,DATE(2026,6,21),'Agenda 2026'!$M$2:$M$376,1)&gt;=6,CHAR(10)&amp;IFERROR(INDEX('Agenda 2026'!$B$2:$B$376,MATCH(DATE(2026,6,21)*10+6,'Agenda 2026'!$S$2:$S$376,0)),""),"")&amp;IF(COUNTIFS('Agenda 2026'!$Q$2:$Q$376,DATE(2026,6,21),'Agenda 2026'!$M$2:$M$376,1)&gt;=7,CHAR(10)&amp;IFERROR(INDEX('Agenda 2026'!$B$2:$B$376,MATCH(DATE(2026,6,21)*10+7,'Agenda 2026'!$S$2:$S$376,0)),""),"")&amp;IF(COUNTIFS('Agenda 2026'!$Q$2:$Q$376,DATE(2026,6,21),'Agenda 2026'!$M$2:$M$376,1)&gt;=8,CHAR(10)&amp;IFERROR(INDEX('Agenda 2026'!$B$2:$B$376,MATCH(DATE(2026,6,21)*10+8,'Agenda 2026'!$S$2:$S$376,0)),""),"")&amp;IF(COUNTIFS('Agenda 2026'!$Q$2:$Q$376,DATE(2026,6,21),'Agenda 2026'!$M$2:$M$376,1)&gt;=9,CHAR(10)&amp;IFERROR(INDEX('Agenda 2026'!$B$2:$B$376,MATCH(DATE(2026,6,21)*10+9,'Agenda 2026'!$S$2:$S$376,0)),""),"")&amp;IF(COUNTIFS('Agenda 2026'!$Q$2:$Q$376,DATE(2026,6,21),'Agenda 2026'!$M$2:$M$376,1)&gt;=10,CHAR(10)&amp;IFERROR(INDEX('Agenda 2026'!$B$2:$B$376,MATCH(DATE(2026,6,21)*10+10,'Agenda 2026'!$S$2:$S$376,0)),""),"")&amp;IF(COUNTIFS('Agenda 2026'!$Q$2:$Q$376,DATE(2026,6,21),'Agenda 2026'!$M$2:$M$376,1)&gt;=11,CHAR(10)&amp;IFERROR(INDEX('Agenda 2026'!$B$2:$B$376,MATCH(DATE(2026,6,21)*10+11,'Agenda 2026'!$S$2:$S$376,0)),""),"")&amp;IF(COUNTIFS('Agenda 2026'!$Q$2:$Q$376,DATE(2026,6,21),'Agenda 2026'!$M$2:$M$376,1)&gt;=12,CHAR(10)&amp;IFERROR(INDEX('Agenda 2026'!$B$2:$B$376,MATCH(DATE(2026,6,21)*10+12,'Agenda 2026'!$S$2:$S$376,0)),""),"")</f>
        <v>21</v>
      </c>
    </row>
    <row r="59" spans="1:8" ht="69.75" customHeight="1" x14ac:dyDescent="0.35">
      <c r="A59" s="17"/>
      <c r="B59" s="58" t="str">
        <f t="array" ref="B59">22&amp;IF(COUNTIFS('Agenda 2026'!$Q$2:$Q$376,DATE(2026,6,22),'Agenda 2026'!$M$2:$M$376,1)&gt;=1,CHAR(10)&amp;IFERROR(INDEX('Agenda 2026'!$B$2:$B$376,MATCH(DATE(2026,6,22)*10+1,'Agenda 2026'!$S$2:$S$376,0)),""),"")&amp;IF(COUNTIFS('Agenda 2026'!$Q$2:$Q$376,DATE(2026,6,22),'Agenda 2026'!$M$2:$M$376,1)&gt;=2,CHAR(10)&amp;IFERROR(INDEX('Agenda 2026'!$B$2:$B$376,MATCH(DATE(2026,6,22)*10+2,'Agenda 2026'!$S$2:$S$376,0)),""),"")&amp;IF(COUNTIFS('Agenda 2026'!$Q$2:$Q$376,DATE(2026,6,22),'Agenda 2026'!$M$2:$M$376,1)&gt;=3,CHAR(10)&amp;IFERROR(INDEX('Agenda 2026'!$B$2:$B$376,MATCH(DATE(2026,6,22)*10+3,'Agenda 2026'!$S$2:$S$376,0)),""),"")&amp;IF(COUNTIFS('Agenda 2026'!$Q$2:$Q$376,DATE(2026,6,22),'Agenda 2026'!$M$2:$M$376,1)&gt;=4,CHAR(10)&amp;IFERROR(INDEX('Agenda 2026'!$B$2:$B$376,MATCH(DATE(2026,6,22)*10+4,'Agenda 2026'!$S$2:$S$376,0)),""),"")&amp;IF(COUNTIFS('Agenda 2026'!$Q$2:$Q$376,DATE(2026,6,22),'Agenda 2026'!$M$2:$M$376,1)&gt;=5,CHAR(10)&amp;IFERROR(INDEX('Agenda 2026'!$B$2:$B$376,MATCH(DATE(2026,6,22)*10+5,'Agenda 2026'!$S$2:$S$376,0)),""),"")&amp;IF(COUNTIFS('Agenda 2026'!$Q$2:$Q$376,DATE(2026,6,22),'Agenda 2026'!$M$2:$M$376,1)&gt;=6,CHAR(10)&amp;IFERROR(INDEX('Agenda 2026'!$B$2:$B$376,MATCH(DATE(2026,6,22)*10+6,'Agenda 2026'!$S$2:$S$376,0)),""),"")&amp;IF(COUNTIFS('Agenda 2026'!$Q$2:$Q$376,DATE(2026,6,22),'Agenda 2026'!$M$2:$M$376,1)&gt;=7,CHAR(10)&amp;IFERROR(INDEX('Agenda 2026'!$B$2:$B$376,MATCH(DATE(2026,6,22)*10+7,'Agenda 2026'!$S$2:$S$376,0)),""),"")&amp;IF(COUNTIFS('Agenda 2026'!$Q$2:$Q$376,DATE(2026,6,22),'Agenda 2026'!$M$2:$M$376,1)&gt;=8,CHAR(10)&amp;IFERROR(INDEX('Agenda 2026'!$B$2:$B$376,MATCH(DATE(2026,6,22)*10+8,'Agenda 2026'!$S$2:$S$376,0)),""),"")&amp;IF(COUNTIFS('Agenda 2026'!$Q$2:$Q$376,DATE(2026,6,22),'Agenda 2026'!$M$2:$M$376,1)&gt;=9,CHAR(10)&amp;IFERROR(INDEX('Agenda 2026'!$B$2:$B$376,MATCH(DATE(2026,6,22)*10+9,'Agenda 2026'!$S$2:$S$376,0)),""),"")&amp;IF(COUNTIFS('Agenda 2026'!$Q$2:$Q$376,DATE(2026,6,22),'Agenda 2026'!$M$2:$M$376,1)&gt;=10,CHAR(10)&amp;IFERROR(INDEX('Agenda 2026'!$B$2:$B$376,MATCH(DATE(2026,6,22)*10+10,'Agenda 2026'!$S$2:$S$376,0)),""),"")&amp;IF(COUNTIFS('Agenda 2026'!$Q$2:$Q$376,DATE(2026,6,22),'Agenda 2026'!$M$2:$M$376,1)&gt;=11,CHAR(10)&amp;IFERROR(INDEX('Agenda 2026'!$B$2:$B$376,MATCH(DATE(2026,6,22)*10+11,'Agenda 2026'!$S$2:$S$376,0)),""),"")&amp;IF(COUNTIFS('Agenda 2026'!$Q$2:$Q$376,DATE(2026,6,22),'Agenda 2026'!$M$2:$M$376,1)&gt;=12,CHAR(10)&amp;IFERROR(INDEX('Agenda 2026'!$B$2:$B$376,MATCH(DATE(2026,6,22)*10+12,'Agenda 2026'!$S$2:$S$376,0)),""),"")</f>
        <v>22</v>
      </c>
      <c r="C59" s="58" t="str">
        <f t="array" ref="C59">23&amp;IF(COUNTIFS('Agenda 2026'!$Q$2:$Q$376,DATE(2026,6,23),'Agenda 2026'!$M$2:$M$376,1)&gt;=1,CHAR(10)&amp;IFERROR(INDEX('Agenda 2026'!$B$2:$B$376,MATCH(DATE(2026,6,23)*10+1,'Agenda 2026'!$S$2:$S$376,0)),""),"")&amp;IF(COUNTIFS('Agenda 2026'!$Q$2:$Q$376,DATE(2026,6,23),'Agenda 2026'!$M$2:$M$376,1)&gt;=2,CHAR(10)&amp;IFERROR(INDEX('Agenda 2026'!$B$2:$B$376,MATCH(DATE(2026,6,23)*10+2,'Agenda 2026'!$S$2:$S$376,0)),""),"")&amp;IF(COUNTIFS('Agenda 2026'!$Q$2:$Q$376,DATE(2026,6,23),'Agenda 2026'!$M$2:$M$376,1)&gt;=3,CHAR(10)&amp;IFERROR(INDEX('Agenda 2026'!$B$2:$B$376,MATCH(DATE(2026,6,23)*10+3,'Agenda 2026'!$S$2:$S$376,0)),""),"")&amp;IF(COUNTIFS('Agenda 2026'!$Q$2:$Q$376,DATE(2026,6,23),'Agenda 2026'!$M$2:$M$376,1)&gt;=4,CHAR(10)&amp;IFERROR(INDEX('Agenda 2026'!$B$2:$B$376,MATCH(DATE(2026,6,23)*10+4,'Agenda 2026'!$S$2:$S$376,0)),""),"")&amp;IF(COUNTIFS('Agenda 2026'!$Q$2:$Q$376,DATE(2026,6,23),'Agenda 2026'!$M$2:$M$376,1)&gt;=5,CHAR(10)&amp;IFERROR(INDEX('Agenda 2026'!$B$2:$B$376,MATCH(DATE(2026,6,23)*10+5,'Agenda 2026'!$S$2:$S$376,0)),""),"")&amp;IF(COUNTIFS('Agenda 2026'!$Q$2:$Q$376,DATE(2026,6,23),'Agenda 2026'!$M$2:$M$376,1)&gt;=6,CHAR(10)&amp;IFERROR(INDEX('Agenda 2026'!$B$2:$B$376,MATCH(DATE(2026,6,23)*10+6,'Agenda 2026'!$S$2:$S$376,0)),""),"")&amp;IF(COUNTIFS('Agenda 2026'!$Q$2:$Q$376,DATE(2026,6,23),'Agenda 2026'!$M$2:$M$376,1)&gt;=7,CHAR(10)&amp;IFERROR(INDEX('Agenda 2026'!$B$2:$B$376,MATCH(DATE(2026,6,23)*10+7,'Agenda 2026'!$S$2:$S$376,0)),""),"")&amp;IF(COUNTIFS('Agenda 2026'!$Q$2:$Q$376,DATE(2026,6,23),'Agenda 2026'!$M$2:$M$376,1)&gt;=8,CHAR(10)&amp;IFERROR(INDEX('Agenda 2026'!$B$2:$B$376,MATCH(DATE(2026,6,23)*10+8,'Agenda 2026'!$S$2:$S$376,0)),""),"")&amp;IF(COUNTIFS('Agenda 2026'!$Q$2:$Q$376,DATE(2026,6,23),'Agenda 2026'!$M$2:$M$376,1)&gt;=9,CHAR(10)&amp;IFERROR(INDEX('Agenda 2026'!$B$2:$B$376,MATCH(DATE(2026,6,23)*10+9,'Agenda 2026'!$S$2:$S$376,0)),""),"")&amp;IF(COUNTIFS('Agenda 2026'!$Q$2:$Q$376,DATE(2026,6,23),'Agenda 2026'!$M$2:$M$376,1)&gt;=10,CHAR(10)&amp;IFERROR(INDEX('Agenda 2026'!$B$2:$B$376,MATCH(DATE(2026,6,23)*10+10,'Agenda 2026'!$S$2:$S$376,0)),""),"")&amp;IF(COUNTIFS('Agenda 2026'!$Q$2:$Q$376,DATE(2026,6,23),'Agenda 2026'!$M$2:$M$376,1)&gt;=11,CHAR(10)&amp;IFERROR(INDEX('Agenda 2026'!$B$2:$B$376,MATCH(DATE(2026,6,23)*10+11,'Agenda 2026'!$S$2:$S$376,0)),""),"")&amp;IF(COUNTIFS('Agenda 2026'!$Q$2:$Q$376,DATE(2026,6,23),'Agenda 2026'!$M$2:$M$376,1)&gt;=12,CHAR(10)&amp;IFERROR(INDEX('Agenda 2026'!$B$2:$B$376,MATCH(DATE(2026,6,23)*10+12,'Agenda 2026'!$S$2:$S$376,0)),""),"")</f>
        <v>23</v>
      </c>
      <c r="D59" s="58" t="str">
        <f t="array" ref="D59">24&amp;IF(COUNTIFS('Agenda 2026'!$Q$2:$Q$376,DATE(2026,6,24),'Agenda 2026'!$M$2:$M$376,1)&gt;=1,CHAR(10)&amp;IFERROR(INDEX('Agenda 2026'!$B$2:$B$376,MATCH(DATE(2026,6,24)*10+1,'Agenda 2026'!$S$2:$S$376,0)),""),"")&amp;IF(COUNTIFS('Agenda 2026'!$Q$2:$Q$376,DATE(2026,6,24),'Agenda 2026'!$M$2:$M$376,1)&gt;=2,CHAR(10)&amp;IFERROR(INDEX('Agenda 2026'!$B$2:$B$376,MATCH(DATE(2026,6,24)*10+2,'Agenda 2026'!$S$2:$S$376,0)),""),"")&amp;IF(COUNTIFS('Agenda 2026'!$Q$2:$Q$376,DATE(2026,6,24),'Agenda 2026'!$M$2:$M$376,1)&gt;=3,CHAR(10)&amp;IFERROR(INDEX('Agenda 2026'!$B$2:$B$376,MATCH(DATE(2026,6,24)*10+3,'Agenda 2026'!$S$2:$S$376,0)),""),"")&amp;IF(COUNTIFS('Agenda 2026'!$Q$2:$Q$376,DATE(2026,6,24),'Agenda 2026'!$M$2:$M$376,1)&gt;=4,CHAR(10)&amp;IFERROR(INDEX('Agenda 2026'!$B$2:$B$376,MATCH(DATE(2026,6,24)*10+4,'Agenda 2026'!$S$2:$S$376,0)),""),"")&amp;IF(COUNTIFS('Agenda 2026'!$Q$2:$Q$376,DATE(2026,6,24),'Agenda 2026'!$M$2:$M$376,1)&gt;=5,CHAR(10)&amp;IFERROR(INDEX('Agenda 2026'!$B$2:$B$376,MATCH(DATE(2026,6,24)*10+5,'Agenda 2026'!$S$2:$S$376,0)),""),"")&amp;IF(COUNTIFS('Agenda 2026'!$Q$2:$Q$376,DATE(2026,6,24),'Agenda 2026'!$M$2:$M$376,1)&gt;=6,CHAR(10)&amp;IFERROR(INDEX('Agenda 2026'!$B$2:$B$376,MATCH(DATE(2026,6,24)*10+6,'Agenda 2026'!$S$2:$S$376,0)),""),"")&amp;IF(COUNTIFS('Agenda 2026'!$Q$2:$Q$376,DATE(2026,6,24),'Agenda 2026'!$M$2:$M$376,1)&gt;=7,CHAR(10)&amp;IFERROR(INDEX('Agenda 2026'!$B$2:$B$376,MATCH(DATE(2026,6,24)*10+7,'Agenda 2026'!$S$2:$S$376,0)),""),"")&amp;IF(COUNTIFS('Agenda 2026'!$Q$2:$Q$376,DATE(2026,6,24),'Agenda 2026'!$M$2:$M$376,1)&gt;=8,CHAR(10)&amp;IFERROR(INDEX('Agenda 2026'!$B$2:$B$376,MATCH(DATE(2026,6,24)*10+8,'Agenda 2026'!$S$2:$S$376,0)),""),"")&amp;IF(COUNTIFS('Agenda 2026'!$Q$2:$Q$376,DATE(2026,6,24),'Agenda 2026'!$M$2:$M$376,1)&gt;=9,CHAR(10)&amp;IFERROR(INDEX('Agenda 2026'!$B$2:$B$376,MATCH(DATE(2026,6,24)*10+9,'Agenda 2026'!$S$2:$S$376,0)),""),"")&amp;IF(COUNTIFS('Agenda 2026'!$Q$2:$Q$376,DATE(2026,6,24),'Agenda 2026'!$M$2:$M$376,1)&gt;=10,CHAR(10)&amp;IFERROR(INDEX('Agenda 2026'!$B$2:$B$376,MATCH(DATE(2026,6,24)*10+10,'Agenda 2026'!$S$2:$S$376,0)),""),"")&amp;IF(COUNTIFS('Agenda 2026'!$Q$2:$Q$376,DATE(2026,6,24),'Agenda 2026'!$M$2:$M$376,1)&gt;=11,CHAR(10)&amp;IFERROR(INDEX('Agenda 2026'!$B$2:$B$376,MATCH(DATE(2026,6,24)*10+11,'Agenda 2026'!$S$2:$S$376,0)),""),"")&amp;IF(COUNTIFS('Agenda 2026'!$Q$2:$Q$376,DATE(2026,6,24),'Agenda 2026'!$M$2:$M$376,1)&gt;=12,CHAR(10)&amp;IFERROR(INDEX('Agenda 2026'!$B$2:$B$376,MATCH(DATE(2026,6,24)*10+12,'Agenda 2026'!$S$2:$S$376,0)),""),"")</f>
        <v>24</v>
      </c>
      <c r="E59" s="58" t="str">
        <f t="array" ref="E59">25&amp;IF(COUNTIFS('Agenda 2026'!$Q$2:$Q$376,DATE(2026,6,25),'Agenda 2026'!$M$2:$M$376,1)&gt;=1,CHAR(10)&amp;IFERROR(INDEX('Agenda 2026'!$B$2:$B$376,MATCH(DATE(2026,6,25)*10+1,'Agenda 2026'!$S$2:$S$376,0)),""),"")&amp;IF(COUNTIFS('Agenda 2026'!$Q$2:$Q$376,DATE(2026,6,25),'Agenda 2026'!$M$2:$M$376,1)&gt;=2,CHAR(10)&amp;IFERROR(INDEX('Agenda 2026'!$B$2:$B$376,MATCH(DATE(2026,6,25)*10+2,'Agenda 2026'!$S$2:$S$376,0)),""),"")&amp;IF(COUNTIFS('Agenda 2026'!$Q$2:$Q$376,DATE(2026,6,25),'Agenda 2026'!$M$2:$M$376,1)&gt;=3,CHAR(10)&amp;IFERROR(INDEX('Agenda 2026'!$B$2:$B$376,MATCH(DATE(2026,6,25)*10+3,'Agenda 2026'!$S$2:$S$376,0)),""),"")&amp;IF(COUNTIFS('Agenda 2026'!$Q$2:$Q$376,DATE(2026,6,25),'Agenda 2026'!$M$2:$M$376,1)&gt;=4,CHAR(10)&amp;IFERROR(INDEX('Agenda 2026'!$B$2:$B$376,MATCH(DATE(2026,6,25)*10+4,'Agenda 2026'!$S$2:$S$376,0)),""),"")&amp;IF(COUNTIFS('Agenda 2026'!$Q$2:$Q$376,DATE(2026,6,25),'Agenda 2026'!$M$2:$M$376,1)&gt;=5,CHAR(10)&amp;IFERROR(INDEX('Agenda 2026'!$B$2:$B$376,MATCH(DATE(2026,6,25)*10+5,'Agenda 2026'!$S$2:$S$376,0)),""),"")&amp;IF(COUNTIFS('Agenda 2026'!$Q$2:$Q$376,DATE(2026,6,25),'Agenda 2026'!$M$2:$M$376,1)&gt;=6,CHAR(10)&amp;IFERROR(INDEX('Agenda 2026'!$B$2:$B$376,MATCH(DATE(2026,6,25)*10+6,'Agenda 2026'!$S$2:$S$376,0)),""),"")&amp;IF(COUNTIFS('Agenda 2026'!$Q$2:$Q$376,DATE(2026,6,25),'Agenda 2026'!$M$2:$M$376,1)&gt;=7,CHAR(10)&amp;IFERROR(INDEX('Agenda 2026'!$B$2:$B$376,MATCH(DATE(2026,6,25)*10+7,'Agenda 2026'!$S$2:$S$376,0)),""),"")&amp;IF(COUNTIFS('Agenda 2026'!$Q$2:$Q$376,DATE(2026,6,25),'Agenda 2026'!$M$2:$M$376,1)&gt;=8,CHAR(10)&amp;IFERROR(INDEX('Agenda 2026'!$B$2:$B$376,MATCH(DATE(2026,6,25)*10+8,'Agenda 2026'!$S$2:$S$376,0)),""),"")&amp;IF(COUNTIFS('Agenda 2026'!$Q$2:$Q$376,DATE(2026,6,25),'Agenda 2026'!$M$2:$M$376,1)&gt;=9,CHAR(10)&amp;IFERROR(INDEX('Agenda 2026'!$B$2:$B$376,MATCH(DATE(2026,6,25)*10+9,'Agenda 2026'!$S$2:$S$376,0)),""),"")&amp;IF(COUNTIFS('Agenda 2026'!$Q$2:$Q$376,DATE(2026,6,25),'Agenda 2026'!$M$2:$M$376,1)&gt;=10,CHAR(10)&amp;IFERROR(INDEX('Agenda 2026'!$B$2:$B$376,MATCH(DATE(2026,6,25)*10+10,'Agenda 2026'!$S$2:$S$376,0)),""),"")&amp;IF(COUNTIFS('Agenda 2026'!$Q$2:$Q$376,DATE(2026,6,25),'Agenda 2026'!$M$2:$M$376,1)&gt;=11,CHAR(10)&amp;IFERROR(INDEX('Agenda 2026'!$B$2:$B$376,MATCH(DATE(2026,6,25)*10+11,'Agenda 2026'!$S$2:$S$376,0)),""),"")&amp;IF(COUNTIFS('Agenda 2026'!$Q$2:$Q$376,DATE(2026,6,25),'Agenda 2026'!$M$2:$M$376,1)&gt;=12,CHAR(10)&amp;IFERROR(INDEX('Agenda 2026'!$B$2:$B$376,MATCH(DATE(2026,6,25)*10+12,'Agenda 2026'!$S$2:$S$376,0)),""),"")</f>
        <v>25</v>
      </c>
      <c r="F59" s="58" t="str">
        <f t="array" ref="F59">26&amp;IF(COUNTIFS('Agenda 2026'!$Q$2:$Q$376,DATE(2026,6,26),'Agenda 2026'!$M$2:$M$376,1)&gt;=1,CHAR(10)&amp;IFERROR(INDEX('Agenda 2026'!$B$2:$B$376,MATCH(DATE(2026,6,26)*10+1,'Agenda 2026'!$S$2:$S$376,0)),""),"")&amp;IF(COUNTIFS('Agenda 2026'!$Q$2:$Q$376,DATE(2026,6,26),'Agenda 2026'!$M$2:$M$376,1)&gt;=2,CHAR(10)&amp;IFERROR(INDEX('Agenda 2026'!$B$2:$B$376,MATCH(DATE(2026,6,26)*10+2,'Agenda 2026'!$S$2:$S$376,0)),""),"")&amp;IF(COUNTIFS('Agenda 2026'!$Q$2:$Q$376,DATE(2026,6,26),'Agenda 2026'!$M$2:$M$376,1)&gt;=3,CHAR(10)&amp;IFERROR(INDEX('Agenda 2026'!$B$2:$B$376,MATCH(DATE(2026,6,26)*10+3,'Agenda 2026'!$S$2:$S$376,0)),""),"")&amp;IF(COUNTIFS('Agenda 2026'!$Q$2:$Q$376,DATE(2026,6,26),'Agenda 2026'!$M$2:$M$376,1)&gt;=4,CHAR(10)&amp;IFERROR(INDEX('Agenda 2026'!$B$2:$B$376,MATCH(DATE(2026,6,26)*10+4,'Agenda 2026'!$S$2:$S$376,0)),""),"")&amp;IF(COUNTIFS('Agenda 2026'!$Q$2:$Q$376,DATE(2026,6,26),'Agenda 2026'!$M$2:$M$376,1)&gt;=5,CHAR(10)&amp;IFERROR(INDEX('Agenda 2026'!$B$2:$B$376,MATCH(DATE(2026,6,26)*10+5,'Agenda 2026'!$S$2:$S$376,0)),""),"")&amp;IF(COUNTIFS('Agenda 2026'!$Q$2:$Q$376,DATE(2026,6,26),'Agenda 2026'!$M$2:$M$376,1)&gt;=6,CHAR(10)&amp;IFERROR(INDEX('Agenda 2026'!$B$2:$B$376,MATCH(DATE(2026,6,26)*10+6,'Agenda 2026'!$S$2:$S$376,0)),""),"")&amp;IF(COUNTIFS('Agenda 2026'!$Q$2:$Q$376,DATE(2026,6,26),'Agenda 2026'!$M$2:$M$376,1)&gt;=7,CHAR(10)&amp;IFERROR(INDEX('Agenda 2026'!$B$2:$B$376,MATCH(DATE(2026,6,26)*10+7,'Agenda 2026'!$S$2:$S$376,0)),""),"")&amp;IF(COUNTIFS('Agenda 2026'!$Q$2:$Q$376,DATE(2026,6,26),'Agenda 2026'!$M$2:$M$376,1)&gt;=8,CHAR(10)&amp;IFERROR(INDEX('Agenda 2026'!$B$2:$B$376,MATCH(DATE(2026,6,26)*10+8,'Agenda 2026'!$S$2:$S$376,0)),""),"")&amp;IF(COUNTIFS('Agenda 2026'!$Q$2:$Q$376,DATE(2026,6,26),'Agenda 2026'!$M$2:$M$376,1)&gt;=9,CHAR(10)&amp;IFERROR(INDEX('Agenda 2026'!$B$2:$B$376,MATCH(DATE(2026,6,26)*10+9,'Agenda 2026'!$S$2:$S$376,0)),""),"")&amp;IF(COUNTIFS('Agenda 2026'!$Q$2:$Q$376,DATE(2026,6,26),'Agenda 2026'!$M$2:$M$376,1)&gt;=10,CHAR(10)&amp;IFERROR(INDEX('Agenda 2026'!$B$2:$B$376,MATCH(DATE(2026,6,26)*10+10,'Agenda 2026'!$S$2:$S$376,0)),""),"")&amp;IF(COUNTIFS('Agenda 2026'!$Q$2:$Q$376,DATE(2026,6,26),'Agenda 2026'!$M$2:$M$376,1)&gt;=11,CHAR(10)&amp;IFERROR(INDEX('Agenda 2026'!$B$2:$B$376,MATCH(DATE(2026,6,26)*10+11,'Agenda 2026'!$S$2:$S$376,0)),""),"")&amp;IF(COUNTIFS('Agenda 2026'!$Q$2:$Q$376,DATE(2026,6,26),'Agenda 2026'!$M$2:$M$376,1)&gt;=12,CHAR(10)&amp;IFERROR(INDEX('Agenda 2026'!$B$2:$B$376,MATCH(DATE(2026,6,26)*10+12,'Agenda 2026'!$S$2:$S$376,0)),""),"")</f>
        <v>26</v>
      </c>
      <c r="G59" s="58" t="str">
        <f t="array" ref="G59">27&amp;IF(COUNTIFS('Agenda 2026'!$Q$2:$Q$376,DATE(2026,6,27),'Agenda 2026'!$M$2:$M$376,1)&gt;=1,CHAR(10)&amp;IFERROR(INDEX('Agenda 2026'!$B$2:$B$376,MATCH(DATE(2026,6,27)*10+1,'Agenda 2026'!$S$2:$S$376,0)),""),"")&amp;IF(COUNTIFS('Agenda 2026'!$Q$2:$Q$376,DATE(2026,6,27),'Agenda 2026'!$M$2:$M$376,1)&gt;=2,CHAR(10)&amp;IFERROR(INDEX('Agenda 2026'!$B$2:$B$376,MATCH(DATE(2026,6,27)*10+2,'Agenda 2026'!$S$2:$S$376,0)),""),"")&amp;IF(COUNTIFS('Agenda 2026'!$Q$2:$Q$376,DATE(2026,6,27),'Agenda 2026'!$M$2:$M$376,1)&gt;=3,CHAR(10)&amp;IFERROR(INDEX('Agenda 2026'!$B$2:$B$376,MATCH(DATE(2026,6,27)*10+3,'Agenda 2026'!$S$2:$S$376,0)),""),"")&amp;IF(COUNTIFS('Agenda 2026'!$Q$2:$Q$376,DATE(2026,6,27),'Agenda 2026'!$M$2:$M$376,1)&gt;=4,CHAR(10)&amp;IFERROR(INDEX('Agenda 2026'!$B$2:$B$376,MATCH(DATE(2026,6,27)*10+4,'Agenda 2026'!$S$2:$S$376,0)),""),"")&amp;IF(COUNTIFS('Agenda 2026'!$Q$2:$Q$376,DATE(2026,6,27),'Agenda 2026'!$M$2:$M$376,1)&gt;=5,CHAR(10)&amp;IFERROR(INDEX('Agenda 2026'!$B$2:$B$376,MATCH(DATE(2026,6,27)*10+5,'Agenda 2026'!$S$2:$S$376,0)),""),"")&amp;IF(COUNTIFS('Agenda 2026'!$Q$2:$Q$376,DATE(2026,6,27),'Agenda 2026'!$M$2:$M$376,1)&gt;=6,CHAR(10)&amp;IFERROR(INDEX('Agenda 2026'!$B$2:$B$376,MATCH(DATE(2026,6,27)*10+6,'Agenda 2026'!$S$2:$S$376,0)),""),"")&amp;IF(COUNTIFS('Agenda 2026'!$Q$2:$Q$376,DATE(2026,6,27),'Agenda 2026'!$M$2:$M$376,1)&gt;=7,CHAR(10)&amp;IFERROR(INDEX('Agenda 2026'!$B$2:$B$376,MATCH(DATE(2026,6,27)*10+7,'Agenda 2026'!$S$2:$S$376,0)),""),"")&amp;IF(COUNTIFS('Agenda 2026'!$Q$2:$Q$376,DATE(2026,6,27),'Agenda 2026'!$M$2:$M$376,1)&gt;=8,CHAR(10)&amp;IFERROR(INDEX('Agenda 2026'!$B$2:$B$376,MATCH(DATE(2026,6,27)*10+8,'Agenda 2026'!$S$2:$S$376,0)),""),"")&amp;IF(COUNTIFS('Agenda 2026'!$Q$2:$Q$376,DATE(2026,6,27),'Agenda 2026'!$M$2:$M$376,1)&gt;=9,CHAR(10)&amp;IFERROR(INDEX('Agenda 2026'!$B$2:$B$376,MATCH(DATE(2026,6,27)*10+9,'Agenda 2026'!$S$2:$S$376,0)),""),"")&amp;IF(COUNTIFS('Agenda 2026'!$Q$2:$Q$376,DATE(2026,6,27),'Agenda 2026'!$M$2:$M$376,1)&gt;=10,CHAR(10)&amp;IFERROR(INDEX('Agenda 2026'!$B$2:$B$376,MATCH(DATE(2026,6,27)*10+10,'Agenda 2026'!$S$2:$S$376,0)),""),"")&amp;IF(COUNTIFS('Agenda 2026'!$Q$2:$Q$376,DATE(2026,6,27),'Agenda 2026'!$M$2:$M$376,1)&gt;=11,CHAR(10)&amp;IFERROR(INDEX('Agenda 2026'!$B$2:$B$376,MATCH(DATE(2026,6,27)*10+11,'Agenda 2026'!$S$2:$S$376,0)),""),"")&amp;IF(COUNTIFS('Agenda 2026'!$Q$2:$Q$376,DATE(2026,6,27),'Agenda 2026'!$M$2:$M$376,1)&gt;=12,CHAR(10)&amp;IFERROR(INDEX('Agenda 2026'!$B$2:$B$376,MATCH(DATE(2026,6,27)*10+12,'Agenda 2026'!$S$2:$S$376,0)),""),"")</f>
        <v>27</v>
      </c>
      <c r="H59" s="58" t="str">
        <f t="array" ref="H59">28&amp;IF(COUNTIFS('Agenda 2026'!$Q$2:$Q$376,DATE(2026,6,28),'Agenda 2026'!$M$2:$M$376,1)&gt;=1,CHAR(10)&amp;IFERROR(INDEX('Agenda 2026'!$B$2:$B$376,MATCH(DATE(2026,6,28)*10+1,'Agenda 2026'!$S$2:$S$376,0)),""),"")&amp;IF(COUNTIFS('Agenda 2026'!$Q$2:$Q$376,DATE(2026,6,28),'Agenda 2026'!$M$2:$M$376,1)&gt;=2,CHAR(10)&amp;IFERROR(INDEX('Agenda 2026'!$B$2:$B$376,MATCH(DATE(2026,6,28)*10+2,'Agenda 2026'!$S$2:$S$376,0)),""),"")&amp;IF(COUNTIFS('Agenda 2026'!$Q$2:$Q$376,DATE(2026,6,28),'Agenda 2026'!$M$2:$M$376,1)&gt;=3,CHAR(10)&amp;IFERROR(INDEX('Agenda 2026'!$B$2:$B$376,MATCH(DATE(2026,6,28)*10+3,'Agenda 2026'!$S$2:$S$376,0)),""),"")&amp;IF(COUNTIFS('Agenda 2026'!$Q$2:$Q$376,DATE(2026,6,28),'Agenda 2026'!$M$2:$M$376,1)&gt;=4,CHAR(10)&amp;IFERROR(INDEX('Agenda 2026'!$B$2:$B$376,MATCH(DATE(2026,6,28)*10+4,'Agenda 2026'!$S$2:$S$376,0)),""),"")&amp;IF(COUNTIFS('Agenda 2026'!$Q$2:$Q$376,DATE(2026,6,28),'Agenda 2026'!$M$2:$M$376,1)&gt;=5,CHAR(10)&amp;IFERROR(INDEX('Agenda 2026'!$B$2:$B$376,MATCH(DATE(2026,6,28)*10+5,'Agenda 2026'!$S$2:$S$376,0)),""),"")&amp;IF(COUNTIFS('Agenda 2026'!$Q$2:$Q$376,DATE(2026,6,28),'Agenda 2026'!$M$2:$M$376,1)&gt;=6,CHAR(10)&amp;IFERROR(INDEX('Agenda 2026'!$B$2:$B$376,MATCH(DATE(2026,6,28)*10+6,'Agenda 2026'!$S$2:$S$376,0)),""),"")&amp;IF(COUNTIFS('Agenda 2026'!$Q$2:$Q$376,DATE(2026,6,28),'Agenda 2026'!$M$2:$M$376,1)&gt;=7,CHAR(10)&amp;IFERROR(INDEX('Agenda 2026'!$B$2:$B$376,MATCH(DATE(2026,6,28)*10+7,'Agenda 2026'!$S$2:$S$376,0)),""),"")&amp;IF(COUNTIFS('Agenda 2026'!$Q$2:$Q$376,DATE(2026,6,28),'Agenda 2026'!$M$2:$M$376,1)&gt;=8,CHAR(10)&amp;IFERROR(INDEX('Agenda 2026'!$B$2:$B$376,MATCH(DATE(2026,6,28)*10+8,'Agenda 2026'!$S$2:$S$376,0)),""),"")&amp;IF(COUNTIFS('Agenda 2026'!$Q$2:$Q$376,DATE(2026,6,28),'Agenda 2026'!$M$2:$M$376,1)&gt;=9,CHAR(10)&amp;IFERROR(INDEX('Agenda 2026'!$B$2:$B$376,MATCH(DATE(2026,6,28)*10+9,'Agenda 2026'!$S$2:$S$376,0)),""),"")&amp;IF(COUNTIFS('Agenda 2026'!$Q$2:$Q$376,DATE(2026,6,28),'Agenda 2026'!$M$2:$M$376,1)&gt;=10,CHAR(10)&amp;IFERROR(INDEX('Agenda 2026'!$B$2:$B$376,MATCH(DATE(2026,6,28)*10+10,'Agenda 2026'!$S$2:$S$376,0)),""),"")&amp;IF(COUNTIFS('Agenda 2026'!$Q$2:$Q$376,DATE(2026,6,28),'Agenda 2026'!$M$2:$M$376,1)&gt;=11,CHAR(10)&amp;IFERROR(INDEX('Agenda 2026'!$B$2:$B$376,MATCH(DATE(2026,6,28)*10+11,'Agenda 2026'!$S$2:$S$376,0)),""),"")&amp;IF(COUNTIFS('Agenda 2026'!$Q$2:$Q$376,DATE(2026,6,28),'Agenda 2026'!$M$2:$M$376,1)&gt;=12,CHAR(10)&amp;IFERROR(INDEX('Agenda 2026'!$B$2:$B$376,MATCH(DATE(2026,6,28)*10+12,'Agenda 2026'!$S$2:$S$376,0)),""),"")</f>
        <v>28</v>
      </c>
    </row>
    <row r="60" spans="1:8" ht="45.75" customHeight="1" x14ac:dyDescent="0.35">
      <c r="A60" s="17"/>
      <c r="B60" s="58" t="str">
        <f t="array" ref="B60">29&amp;IF(COUNTIFS('Agenda 2026'!$Q$2:$Q$376,DATE(2026,6,29),'Agenda 2026'!$M$2:$M$376,1)&gt;=1,CHAR(10)&amp;IFERROR(INDEX('Agenda 2026'!$B$2:$B$376,MATCH(DATE(2026,6,29)*10+1,'Agenda 2026'!$S$2:$S$376,0)),""),"")&amp;IF(COUNTIFS('Agenda 2026'!$Q$2:$Q$376,DATE(2026,6,29),'Agenda 2026'!$M$2:$M$376,1)&gt;=2,CHAR(10)&amp;IFERROR(INDEX('Agenda 2026'!$B$2:$B$376,MATCH(DATE(2026,6,29)*10+2,'Agenda 2026'!$S$2:$S$376,0)),""),"")&amp;IF(COUNTIFS('Agenda 2026'!$Q$2:$Q$376,DATE(2026,6,29),'Agenda 2026'!$M$2:$M$376,1)&gt;=3,CHAR(10)&amp;IFERROR(INDEX('Agenda 2026'!$B$2:$B$376,MATCH(DATE(2026,6,29)*10+3,'Agenda 2026'!$S$2:$S$376,0)),""),"")&amp;IF(COUNTIFS('Agenda 2026'!$Q$2:$Q$376,DATE(2026,6,29),'Agenda 2026'!$M$2:$M$376,1)&gt;=4,CHAR(10)&amp;IFERROR(INDEX('Agenda 2026'!$B$2:$B$376,MATCH(DATE(2026,6,29)*10+4,'Agenda 2026'!$S$2:$S$376,0)),""),"")&amp;IF(COUNTIFS('Agenda 2026'!$Q$2:$Q$376,DATE(2026,6,29),'Agenda 2026'!$M$2:$M$376,1)&gt;=5,CHAR(10)&amp;IFERROR(INDEX('Agenda 2026'!$B$2:$B$376,MATCH(DATE(2026,6,29)*10+5,'Agenda 2026'!$S$2:$S$376,0)),""),"")&amp;IF(COUNTIFS('Agenda 2026'!$Q$2:$Q$376,DATE(2026,6,29),'Agenda 2026'!$M$2:$M$376,1)&gt;=6,CHAR(10)&amp;IFERROR(INDEX('Agenda 2026'!$B$2:$B$376,MATCH(DATE(2026,6,29)*10+6,'Agenda 2026'!$S$2:$S$376,0)),""),"")&amp;IF(COUNTIFS('Agenda 2026'!$Q$2:$Q$376,DATE(2026,6,29),'Agenda 2026'!$M$2:$M$376,1)&gt;=7,CHAR(10)&amp;IFERROR(INDEX('Agenda 2026'!$B$2:$B$376,MATCH(DATE(2026,6,29)*10+7,'Agenda 2026'!$S$2:$S$376,0)),""),"")&amp;IF(COUNTIFS('Agenda 2026'!$Q$2:$Q$376,DATE(2026,6,29),'Agenda 2026'!$M$2:$M$376,1)&gt;=8,CHAR(10)&amp;IFERROR(INDEX('Agenda 2026'!$B$2:$B$376,MATCH(DATE(2026,6,29)*10+8,'Agenda 2026'!$S$2:$S$376,0)),""),"")&amp;IF(COUNTIFS('Agenda 2026'!$Q$2:$Q$376,DATE(2026,6,29),'Agenda 2026'!$M$2:$M$376,1)&gt;=9,CHAR(10)&amp;IFERROR(INDEX('Agenda 2026'!$B$2:$B$376,MATCH(DATE(2026,6,29)*10+9,'Agenda 2026'!$S$2:$S$376,0)),""),"")&amp;IF(COUNTIFS('Agenda 2026'!$Q$2:$Q$376,DATE(2026,6,29),'Agenda 2026'!$M$2:$M$376,1)&gt;=10,CHAR(10)&amp;IFERROR(INDEX('Agenda 2026'!$B$2:$B$376,MATCH(DATE(2026,6,29)*10+10,'Agenda 2026'!$S$2:$S$376,0)),""),"")&amp;IF(COUNTIFS('Agenda 2026'!$Q$2:$Q$376,DATE(2026,6,29),'Agenda 2026'!$M$2:$M$376,1)&gt;=11,CHAR(10)&amp;IFERROR(INDEX('Agenda 2026'!$B$2:$B$376,MATCH(DATE(2026,6,29)*10+11,'Agenda 2026'!$S$2:$S$376,0)),""),"")&amp;IF(COUNTIFS('Agenda 2026'!$Q$2:$Q$376,DATE(2026,6,29),'Agenda 2026'!$M$2:$M$376,1)&gt;=12,CHAR(10)&amp;IFERROR(INDEX('Agenda 2026'!$B$2:$B$376,MATCH(DATE(2026,6,29)*10+12,'Agenda 2026'!$S$2:$S$376,0)),""),"")</f>
        <v>29</v>
      </c>
      <c r="C60" s="58" t="str">
        <f t="array" ref="C60">30&amp;IF(COUNTIFS('Agenda 2026'!$Q$2:$Q$376,DATE(2026,6,30),'Agenda 2026'!$M$2:$M$376,1)&gt;=1,CHAR(10)&amp;IFERROR(INDEX('Agenda 2026'!$B$2:$B$376,MATCH(DATE(2026,6,30)*10+1,'Agenda 2026'!$S$2:$S$376,0)),""),"")&amp;IF(COUNTIFS('Agenda 2026'!$Q$2:$Q$376,DATE(2026,6,30),'Agenda 2026'!$M$2:$M$376,1)&gt;=2,CHAR(10)&amp;IFERROR(INDEX('Agenda 2026'!$B$2:$B$376,MATCH(DATE(2026,6,30)*10+2,'Agenda 2026'!$S$2:$S$376,0)),""),"")&amp;IF(COUNTIFS('Agenda 2026'!$Q$2:$Q$376,DATE(2026,6,30),'Agenda 2026'!$M$2:$M$376,1)&gt;=3,CHAR(10)&amp;IFERROR(INDEX('Agenda 2026'!$B$2:$B$376,MATCH(DATE(2026,6,30)*10+3,'Agenda 2026'!$S$2:$S$376,0)),""),"")&amp;IF(COUNTIFS('Agenda 2026'!$Q$2:$Q$376,DATE(2026,6,30),'Agenda 2026'!$M$2:$M$376,1)&gt;=4,CHAR(10)&amp;IFERROR(INDEX('Agenda 2026'!$B$2:$B$376,MATCH(DATE(2026,6,30)*10+4,'Agenda 2026'!$S$2:$S$376,0)),""),"")&amp;IF(COUNTIFS('Agenda 2026'!$Q$2:$Q$376,DATE(2026,6,30),'Agenda 2026'!$M$2:$M$376,1)&gt;=5,CHAR(10)&amp;IFERROR(INDEX('Agenda 2026'!$B$2:$B$376,MATCH(DATE(2026,6,30)*10+5,'Agenda 2026'!$S$2:$S$376,0)),""),"")&amp;IF(COUNTIFS('Agenda 2026'!$Q$2:$Q$376,DATE(2026,6,30),'Agenda 2026'!$M$2:$M$376,1)&gt;=6,CHAR(10)&amp;IFERROR(INDEX('Agenda 2026'!$B$2:$B$376,MATCH(DATE(2026,6,30)*10+6,'Agenda 2026'!$S$2:$S$376,0)),""),"")&amp;IF(COUNTIFS('Agenda 2026'!$Q$2:$Q$376,DATE(2026,6,30),'Agenda 2026'!$M$2:$M$376,1)&gt;=7,CHAR(10)&amp;IFERROR(INDEX('Agenda 2026'!$B$2:$B$376,MATCH(DATE(2026,6,30)*10+7,'Agenda 2026'!$S$2:$S$376,0)),""),"")&amp;IF(COUNTIFS('Agenda 2026'!$Q$2:$Q$376,DATE(2026,6,30),'Agenda 2026'!$M$2:$M$376,1)&gt;=8,CHAR(10)&amp;IFERROR(INDEX('Agenda 2026'!$B$2:$B$376,MATCH(DATE(2026,6,30)*10+8,'Agenda 2026'!$S$2:$S$376,0)),""),"")&amp;IF(COUNTIFS('Agenda 2026'!$Q$2:$Q$376,DATE(2026,6,30),'Agenda 2026'!$M$2:$M$376,1)&gt;=9,CHAR(10)&amp;IFERROR(INDEX('Agenda 2026'!$B$2:$B$376,MATCH(DATE(2026,6,30)*10+9,'Agenda 2026'!$S$2:$S$376,0)),""),"")&amp;IF(COUNTIFS('Agenda 2026'!$Q$2:$Q$376,DATE(2026,6,30),'Agenda 2026'!$M$2:$M$376,1)&gt;=10,CHAR(10)&amp;IFERROR(INDEX('Agenda 2026'!$B$2:$B$376,MATCH(DATE(2026,6,30)*10+10,'Agenda 2026'!$S$2:$S$376,0)),""),"")&amp;IF(COUNTIFS('Agenda 2026'!$Q$2:$Q$376,DATE(2026,6,30),'Agenda 2026'!$M$2:$M$376,1)&gt;=11,CHAR(10)&amp;IFERROR(INDEX('Agenda 2026'!$B$2:$B$376,MATCH(DATE(2026,6,30)*10+11,'Agenda 2026'!$S$2:$S$376,0)),""),"")&amp;IF(COUNTIFS('Agenda 2026'!$Q$2:$Q$376,DATE(2026,6,30),'Agenda 2026'!$M$2:$M$376,1)&gt;=12,CHAR(10)&amp;IFERROR(INDEX('Agenda 2026'!$B$2:$B$376,MATCH(DATE(2026,6,30)*10+12,'Agenda 2026'!$S$2:$S$376,0)),""),"")</f>
        <v>30</v>
      </c>
      <c r="D60" s="57"/>
      <c r="E60" s="57"/>
      <c r="F60" s="57"/>
      <c r="G60" s="57"/>
      <c r="H60" s="57"/>
    </row>
    <row r="61" spans="1:8" ht="21.75" customHeight="1" x14ac:dyDescent="0.35">
      <c r="A61" s="17"/>
      <c r="B61" s="59"/>
      <c r="C61" s="59"/>
      <c r="D61" s="59"/>
      <c r="E61" s="59"/>
      <c r="F61" s="59"/>
      <c r="G61" s="59"/>
      <c r="H61" s="59"/>
    </row>
    <row r="62" spans="1:8" ht="21.75" customHeight="1" x14ac:dyDescent="0.35">
      <c r="A62" s="17"/>
      <c r="B62" s="10" t="s">
        <v>70</v>
      </c>
      <c r="C62" s="10"/>
      <c r="D62" s="10"/>
      <c r="E62" s="10"/>
      <c r="F62" s="10"/>
      <c r="G62" s="10"/>
      <c r="H62" s="10"/>
    </row>
    <row r="63" spans="1:8" ht="15.75" customHeight="1" x14ac:dyDescent="0.35">
      <c r="A63" s="17"/>
      <c r="B63" s="56" t="s">
        <v>58</v>
      </c>
      <c r="C63" s="56" t="s">
        <v>59</v>
      </c>
      <c r="D63" s="56" t="s">
        <v>60</v>
      </c>
      <c r="E63" s="56" t="s">
        <v>61</v>
      </c>
      <c r="F63" s="56" t="s">
        <v>62</v>
      </c>
      <c r="G63" s="56" t="s">
        <v>63</v>
      </c>
      <c r="H63" s="56" t="s">
        <v>64</v>
      </c>
    </row>
    <row r="64" spans="1:8" ht="33.75" customHeight="1" x14ac:dyDescent="0.35">
      <c r="A64" s="17"/>
      <c r="B64" s="57"/>
      <c r="C64" s="57"/>
      <c r="D64" s="58" t="str">
        <f t="array" ref="D64">1&amp;IF(COUNTIFS('Agenda 2026'!$Q$2:$Q$376,DATE(2026,7,1),'Agenda 2026'!$M$2:$M$376,1)&gt;=1,CHAR(10)&amp;IFERROR(INDEX('Agenda 2026'!$B$2:$B$376,MATCH(DATE(2026,7,1)*10+1,'Agenda 2026'!$S$2:$S$376,0)),""),"")&amp;IF(COUNTIFS('Agenda 2026'!$Q$2:$Q$376,DATE(2026,7,1),'Agenda 2026'!$M$2:$M$376,1)&gt;=2,CHAR(10)&amp;IFERROR(INDEX('Agenda 2026'!$B$2:$B$376,MATCH(DATE(2026,7,1)*10+2,'Agenda 2026'!$S$2:$S$376,0)),""),"")&amp;IF(COUNTIFS('Agenda 2026'!$Q$2:$Q$376,DATE(2026,7,1),'Agenda 2026'!$M$2:$M$376,1)&gt;=3,CHAR(10)&amp;IFERROR(INDEX('Agenda 2026'!$B$2:$B$376,MATCH(DATE(2026,7,1)*10+3,'Agenda 2026'!$S$2:$S$376,0)),""),"")&amp;IF(COUNTIFS('Agenda 2026'!$Q$2:$Q$376,DATE(2026,7,1),'Agenda 2026'!$M$2:$M$376,1)&gt;=4,CHAR(10)&amp;IFERROR(INDEX('Agenda 2026'!$B$2:$B$376,MATCH(DATE(2026,7,1)*10+4,'Agenda 2026'!$S$2:$S$376,0)),""),"")&amp;IF(COUNTIFS('Agenda 2026'!$Q$2:$Q$376,DATE(2026,7,1),'Agenda 2026'!$M$2:$M$376,1)&gt;=5,CHAR(10)&amp;IFERROR(INDEX('Agenda 2026'!$B$2:$B$376,MATCH(DATE(2026,7,1)*10+5,'Agenda 2026'!$S$2:$S$376,0)),""),"")&amp;IF(COUNTIFS('Agenda 2026'!$Q$2:$Q$376,DATE(2026,7,1),'Agenda 2026'!$M$2:$M$376,1)&gt;=6,CHAR(10)&amp;IFERROR(INDEX('Agenda 2026'!$B$2:$B$376,MATCH(DATE(2026,7,1)*10+6,'Agenda 2026'!$S$2:$S$376,0)),""),"")&amp;IF(COUNTIFS('Agenda 2026'!$Q$2:$Q$376,DATE(2026,7,1),'Agenda 2026'!$M$2:$M$376,1)&gt;=7,CHAR(10)&amp;IFERROR(INDEX('Agenda 2026'!$B$2:$B$376,MATCH(DATE(2026,7,1)*10+7,'Agenda 2026'!$S$2:$S$376,0)),""),"")&amp;IF(COUNTIFS('Agenda 2026'!$Q$2:$Q$376,DATE(2026,7,1),'Agenda 2026'!$M$2:$M$376,1)&gt;=8,CHAR(10)&amp;IFERROR(INDEX('Agenda 2026'!$B$2:$B$376,MATCH(DATE(2026,7,1)*10+8,'Agenda 2026'!$S$2:$S$376,0)),""),"")&amp;IF(COUNTIFS('Agenda 2026'!$Q$2:$Q$376,DATE(2026,7,1),'Agenda 2026'!$M$2:$M$376,1)&gt;=9,CHAR(10)&amp;IFERROR(INDEX('Agenda 2026'!$B$2:$B$376,MATCH(DATE(2026,7,1)*10+9,'Agenda 2026'!$S$2:$S$376,0)),""),"")&amp;IF(COUNTIFS('Agenda 2026'!$Q$2:$Q$376,DATE(2026,7,1),'Agenda 2026'!$M$2:$M$376,1)&gt;=10,CHAR(10)&amp;IFERROR(INDEX('Agenda 2026'!$B$2:$B$376,MATCH(DATE(2026,7,1)*10+10,'Agenda 2026'!$S$2:$S$376,0)),""),"")&amp;IF(COUNTIFS('Agenda 2026'!$Q$2:$Q$376,DATE(2026,7,1),'Agenda 2026'!$M$2:$M$376,1)&gt;=11,CHAR(10)&amp;IFERROR(INDEX('Agenda 2026'!$B$2:$B$376,MATCH(DATE(2026,7,1)*10+11,'Agenda 2026'!$S$2:$S$376,0)),""),"")&amp;IF(COUNTIFS('Agenda 2026'!$Q$2:$Q$376,DATE(2026,7,1),'Agenda 2026'!$M$2:$M$376,1)&gt;=12,CHAR(10)&amp;IFERROR(INDEX('Agenda 2026'!$B$2:$B$376,MATCH(DATE(2026,7,1)*10+12,'Agenda 2026'!$S$2:$S$376,0)),""),"")</f>
        <v>1</v>
      </c>
      <c r="E64" s="58" t="str">
        <f t="array" ref="E64">2&amp;IF(COUNTIFS('Agenda 2026'!$Q$2:$Q$376,DATE(2026,7,2),'Agenda 2026'!$M$2:$M$376,1)&gt;=1,CHAR(10)&amp;IFERROR(INDEX('Agenda 2026'!$B$2:$B$376,MATCH(DATE(2026,7,2)*10+1,'Agenda 2026'!$S$2:$S$376,0)),""),"")&amp;IF(COUNTIFS('Agenda 2026'!$Q$2:$Q$376,DATE(2026,7,2),'Agenda 2026'!$M$2:$M$376,1)&gt;=2,CHAR(10)&amp;IFERROR(INDEX('Agenda 2026'!$B$2:$B$376,MATCH(DATE(2026,7,2)*10+2,'Agenda 2026'!$S$2:$S$376,0)),""),"")&amp;IF(COUNTIFS('Agenda 2026'!$Q$2:$Q$376,DATE(2026,7,2),'Agenda 2026'!$M$2:$M$376,1)&gt;=3,CHAR(10)&amp;IFERROR(INDEX('Agenda 2026'!$B$2:$B$376,MATCH(DATE(2026,7,2)*10+3,'Agenda 2026'!$S$2:$S$376,0)),""),"")&amp;IF(COUNTIFS('Agenda 2026'!$Q$2:$Q$376,DATE(2026,7,2),'Agenda 2026'!$M$2:$M$376,1)&gt;=4,CHAR(10)&amp;IFERROR(INDEX('Agenda 2026'!$B$2:$B$376,MATCH(DATE(2026,7,2)*10+4,'Agenda 2026'!$S$2:$S$376,0)),""),"")&amp;IF(COUNTIFS('Agenda 2026'!$Q$2:$Q$376,DATE(2026,7,2),'Agenda 2026'!$M$2:$M$376,1)&gt;=5,CHAR(10)&amp;IFERROR(INDEX('Agenda 2026'!$B$2:$B$376,MATCH(DATE(2026,7,2)*10+5,'Agenda 2026'!$S$2:$S$376,0)),""),"")&amp;IF(COUNTIFS('Agenda 2026'!$Q$2:$Q$376,DATE(2026,7,2),'Agenda 2026'!$M$2:$M$376,1)&gt;=6,CHAR(10)&amp;IFERROR(INDEX('Agenda 2026'!$B$2:$B$376,MATCH(DATE(2026,7,2)*10+6,'Agenda 2026'!$S$2:$S$376,0)),""),"")&amp;IF(COUNTIFS('Agenda 2026'!$Q$2:$Q$376,DATE(2026,7,2),'Agenda 2026'!$M$2:$M$376,1)&gt;=7,CHAR(10)&amp;IFERROR(INDEX('Agenda 2026'!$B$2:$B$376,MATCH(DATE(2026,7,2)*10+7,'Agenda 2026'!$S$2:$S$376,0)),""),"")&amp;IF(COUNTIFS('Agenda 2026'!$Q$2:$Q$376,DATE(2026,7,2),'Agenda 2026'!$M$2:$M$376,1)&gt;=8,CHAR(10)&amp;IFERROR(INDEX('Agenda 2026'!$B$2:$B$376,MATCH(DATE(2026,7,2)*10+8,'Agenda 2026'!$S$2:$S$376,0)),""),"")&amp;IF(COUNTIFS('Agenda 2026'!$Q$2:$Q$376,DATE(2026,7,2),'Agenda 2026'!$M$2:$M$376,1)&gt;=9,CHAR(10)&amp;IFERROR(INDEX('Agenda 2026'!$B$2:$B$376,MATCH(DATE(2026,7,2)*10+9,'Agenda 2026'!$S$2:$S$376,0)),""),"")&amp;IF(COUNTIFS('Agenda 2026'!$Q$2:$Q$376,DATE(2026,7,2),'Agenda 2026'!$M$2:$M$376,1)&gt;=10,CHAR(10)&amp;IFERROR(INDEX('Agenda 2026'!$B$2:$B$376,MATCH(DATE(2026,7,2)*10+10,'Agenda 2026'!$S$2:$S$376,0)),""),"")&amp;IF(COUNTIFS('Agenda 2026'!$Q$2:$Q$376,DATE(2026,7,2),'Agenda 2026'!$M$2:$M$376,1)&gt;=11,CHAR(10)&amp;IFERROR(INDEX('Agenda 2026'!$B$2:$B$376,MATCH(DATE(2026,7,2)*10+11,'Agenda 2026'!$S$2:$S$376,0)),""),"")&amp;IF(COUNTIFS('Agenda 2026'!$Q$2:$Q$376,DATE(2026,7,2),'Agenda 2026'!$M$2:$M$376,1)&gt;=12,CHAR(10)&amp;IFERROR(INDEX('Agenda 2026'!$B$2:$B$376,MATCH(DATE(2026,7,2)*10+12,'Agenda 2026'!$S$2:$S$376,0)),""),"")</f>
        <v>2</v>
      </c>
      <c r="F64" s="58" t="str">
        <f t="array" ref="F64">3&amp;IF(COUNTIFS('Agenda 2026'!$Q$2:$Q$376,DATE(2026,7,3),'Agenda 2026'!$M$2:$M$376,1)&gt;=1,CHAR(10)&amp;IFERROR(INDEX('Agenda 2026'!$B$2:$B$376,MATCH(DATE(2026,7,3)*10+1,'Agenda 2026'!$S$2:$S$376,0)),""),"")&amp;IF(COUNTIFS('Agenda 2026'!$Q$2:$Q$376,DATE(2026,7,3),'Agenda 2026'!$M$2:$M$376,1)&gt;=2,CHAR(10)&amp;IFERROR(INDEX('Agenda 2026'!$B$2:$B$376,MATCH(DATE(2026,7,3)*10+2,'Agenda 2026'!$S$2:$S$376,0)),""),"")&amp;IF(COUNTIFS('Agenda 2026'!$Q$2:$Q$376,DATE(2026,7,3),'Agenda 2026'!$M$2:$M$376,1)&gt;=3,CHAR(10)&amp;IFERROR(INDEX('Agenda 2026'!$B$2:$B$376,MATCH(DATE(2026,7,3)*10+3,'Agenda 2026'!$S$2:$S$376,0)),""),"")&amp;IF(COUNTIFS('Agenda 2026'!$Q$2:$Q$376,DATE(2026,7,3),'Agenda 2026'!$M$2:$M$376,1)&gt;=4,CHAR(10)&amp;IFERROR(INDEX('Agenda 2026'!$B$2:$B$376,MATCH(DATE(2026,7,3)*10+4,'Agenda 2026'!$S$2:$S$376,0)),""),"")&amp;IF(COUNTIFS('Agenda 2026'!$Q$2:$Q$376,DATE(2026,7,3),'Agenda 2026'!$M$2:$M$376,1)&gt;=5,CHAR(10)&amp;IFERROR(INDEX('Agenda 2026'!$B$2:$B$376,MATCH(DATE(2026,7,3)*10+5,'Agenda 2026'!$S$2:$S$376,0)),""),"")&amp;IF(COUNTIFS('Agenda 2026'!$Q$2:$Q$376,DATE(2026,7,3),'Agenda 2026'!$M$2:$M$376,1)&gt;=6,CHAR(10)&amp;IFERROR(INDEX('Agenda 2026'!$B$2:$B$376,MATCH(DATE(2026,7,3)*10+6,'Agenda 2026'!$S$2:$S$376,0)),""),"")&amp;IF(COUNTIFS('Agenda 2026'!$Q$2:$Q$376,DATE(2026,7,3),'Agenda 2026'!$M$2:$M$376,1)&gt;=7,CHAR(10)&amp;IFERROR(INDEX('Agenda 2026'!$B$2:$B$376,MATCH(DATE(2026,7,3)*10+7,'Agenda 2026'!$S$2:$S$376,0)),""),"")&amp;IF(COUNTIFS('Agenda 2026'!$Q$2:$Q$376,DATE(2026,7,3),'Agenda 2026'!$M$2:$M$376,1)&gt;=8,CHAR(10)&amp;IFERROR(INDEX('Agenda 2026'!$B$2:$B$376,MATCH(DATE(2026,7,3)*10+8,'Agenda 2026'!$S$2:$S$376,0)),""),"")&amp;IF(COUNTIFS('Agenda 2026'!$Q$2:$Q$376,DATE(2026,7,3),'Agenda 2026'!$M$2:$M$376,1)&gt;=9,CHAR(10)&amp;IFERROR(INDEX('Agenda 2026'!$B$2:$B$376,MATCH(DATE(2026,7,3)*10+9,'Agenda 2026'!$S$2:$S$376,0)),""),"")&amp;IF(COUNTIFS('Agenda 2026'!$Q$2:$Q$376,DATE(2026,7,3),'Agenda 2026'!$M$2:$M$376,1)&gt;=10,CHAR(10)&amp;IFERROR(INDEX('Agenda 2026'!$B$2:$B$376,MATCH(DATE(2026,7,3)*10+10,'Agenda 2026'!$S$2:$S$376,0)),""),"")&amp;IF(COUNTIFS('Agenda 2026'!$Q$2:$Q$376,DATE(2026,7,3),'Agenda 2026'!$M$2:$M$376,1)&gt;=11,CHAR(10)&amp;IFERROR(INDEX('Agenda 2026'!$B$2:$B$376,MATCH(DATE(2026,7,3)*10+11,'Agenda 2026'!$S$2:$S$376,0)),""),"")&amp;IF(COUNTIFS('Agenda 2026'!$Q$2:$Q$376,DATE(2026,7,3),'Agenda 2026'!$M$2:$M$376,1)&gt;=12,CHAR(10)&amp;IFERROR(INDEX('Agenda 2026'!$B$2:$B$376,MATCH(DATE(2026,7,3)*10+12,'Agenda 2026'!$S$2:$S$376,0)),""),"")</f>
        <v>3</v>
      </c>
      <c r="G64" s="58" t="str">
        <f t="array" ref="G64">4&amp;IF(COUNTIFS('Agenda 2026'!$Q$2:$Q$376,DATE(2026,7,4),'Agenda 2026'!$M$2:$M$376,1)&gt;=1,CHAR(10)&amp;IFERROR(INDEX('Agenda 2026'!$B$2:$B$376,MATCH(DATE(2026,7,4)*10+1,'Agenda 2026'!$S$2:$S$376,0)),""),"")&amp;IF(COUNTIFS('Agenda 2026'!$Q$2:$Q$376,DATE(2026,7,4),'Agenda 2026'!$M$2:$M$376,1)&gt;=2,CHAR(10)&amp;IFERROR(INDEX('Agenda 2026'!$B$2:$B$376,MATCH(DATE(2026,7,4)*10+2,'Agenda 2026'!$S$2:$S$376,0)),""),"")&amp;IF(COUNTIFS('Agenda 2026'!$Q$2:$Q$376,DATE(2026,7,4),'Agenda 2026'!$M$2:$M$376,1)&gt;=3,CHAR(10)&amp;IFERROR(INDEX('Agenda 2026'!$B$2:$B$376,MATCH(DATE(2026,7,4)*10+3,'Agenda 2026'!$S$2:$S$376,0)),""),"")&amp;IF(COUNTIFS('Agenda 2026'!$Q$2:$Q$376,DATE(2026,7,4),'Agenda 2026'!$M$2:$M$376,1)&gt;=4,CHAR(10)&amp;IFERROR(INDEX('Agenda 2026'!$B$2:$B$376,MATCH(DATE(2026,7,4)*10+4,'Agenda 2026'!$S$2:$S$376,0)),""),"")&amp;IF(COUNTIFS('Agenda 2026'!$Q$2:$Q$376,DATE(2026,7,4),'Agenda 2026'!$M$2:$M$376,1)&gt;=5,CHAR(10)&amp;IFERROR(INDEX('Agenda 2026'!$B$2:$B$376,MATCH(DATE(2026,7,4)*10+5,'Agenda 2026'!$S$2:$S$376,0)),""),"")&amp;IF(COUNTIFS('Agenda 2026'!$Q$2:$Q$376,DATE(2026,7,4),'Agenda 2026'!$M$2:$M$376,1)&gt;=6,CHAR(10)&amp;IFERROR(INDEX('Agenda 2026'!$B$2:$B$376,MATCH(DATE(2026,7,4)*10+6,'Agenda 2026'!$S$2:$S$376,0)),""),"")&amp;IF(COUNTIFS('Agenda 2026'!$Q$2:$Q$376,DATE(2026,7,4),'Agenda 2026'!$M$2:$M$376,1)&gt;=7,CHAR(10)&amp;IFERROR(INDEX('Agenda 2026'!$B$2:$B$376,MATCH(DATE(2026,7,4)*10+7,'Agenda 2026'!$S$2:$S$376,0)),""),"")&amp;IF(COUNTIFS('Agenda 2026'!$Q$2:$Q$376,DATE(2026,7,4),'Agenda 2026'!$M$2:$M$376,1)&gt;=8,CHAR(10)&amp;IFERROR(INDEX('Agenda 2026'!$B$2:$B$376,MATCH(DATE(2026,7,4)*10+8,'Agenda 2026'!$S$2:$S$376,0)),""),"")&amp;IF(COUNTIFS('Agenda 2026'!$Q$2:$Q$376,DATE(2026,7,4),'Agenda 2026'!$M$2:$M$376,1)&gt;=9,CHAR(10)&amp;IFERROR(INDEX('Agenda 2026'!$B$2:$B$376,MATCH(DATE(2026,7,4)*10+9,'Agenda 2026'!$S$2:$S$376,0)),""),"")&amp;IF(COUNTIFS('Agenda 2026'!$Q$2:$Q$376,DATE(2026,7,4),'Agenda 2026'!$M$2:$M$376,1)&gt;=10,CHAR(10)&amp;IFERROR(INDEX('Agenda 2026'!$B$2:$B$376,MATCH(DATE(2026,7,4)*10+10,'Agenda 2026'!$S$2:$S$376,0)),""),"")&amp;IF(COUNTIFS('Agenda 2026'!$Q$2:$Q$376,DATE(2026,7,4),'Agenda 2026'!$M$2:$M$376,1)&gt;=11,CHAR(10)&amp;IFERROR(INDEX('Agenda 2026'!$B$2:$B$376,MATCH(DATE(2026,7,4)*10+11,'Agenda 2026'!$S$2:$S$376,0)),""),"")&amp;IF(COUNTIFS('Agenda 2026'!$Q$2:$Q$376,DATE(2026,7,4),'Agenda 2026'!$M$2:$M$376,1)&gt;=12,CHAR(10)&amp;IFERROR(INDEX('Agenda 2026'!$B$2:$B$376,MATCH(DATE(2026,7,4)*10+12,'Agenda 2026'!$S$2:$S$376,0)),""),"")</f>
        <v>4</v>
      </c>
      <c r="H64" s="58" t="str">
        <f t="array" ref="H64">5&amp;IF(COUNTIFS('Agenda 2026'!$Q$2:$Q$376,DATE(2026,7,5),'Agenda 2026'!$M$2:$M$376,1)&gt;=1,CHAR(10)&amp;IFERROR(INDEX('Agenda 2026'!$B$2:$B$376,MATCH(DATE(2026,7,5)*10+1,'Agenda 2026'!$S$2:$S$376,0)),""),"")&amp;IF(COUNTIFS('Agenda 2026'!$Q$2:$Q$376,DATE(2026,7,5),'Agenda 2026'!$M$2:$M$376,1)&gt;=2,CHAR(10)&amp;IFERROR(INDEX('Agenda 2026'!$B$2:$B$376,MATCH(DATE(2026,7,5)*10+2,'Agenda 2026'!$S$2:$S$376,0)),""),"")&amp;IF(COUNTIFS('Agenda 2026'!$Q$2:$Q$376,DATE(2026,7,5),'Agenda 2026'!$M$2:$M$376,1)&gt;=3,CHAR(10)&amp;IFERROR(INDEX('Agenda 2026'!$B$2:$B$376,MATCH(DATE(2026,7,5)*10+3,'Agenda 2026'!$S$2:$S$376,0)),""),"")&amp;IF(COUNTIFS('Agenda 2026'!$Q$2:$Q$376,DATE(2026,7,5),'Agenda 2026'!$M$2:$M$376,1)&gt;=4,CHAR(10)&amp;IFERROR(INDEX('Agenda 2026'!$B$2:$B$376,MATCH(DATE(2026,7,5)*10+4,'Agenda 2026'!$S$2:$S$376,0)),""),"")&amp;IF(COUNTIFS('Agenda 2026'!$Q$2:$Q$376,DATE(2026,7,5),'Agenda 2026'!$M$2:$M$376,1)&gt;=5,CHAR(10)&amp;IFERROR(INDEX('Agenda 2026'!$B$2:$B$376,MATCH(DATE(2026,7,5)*10+5,'Agenda 2026'!$S$2:$S$376,0)),""),"")&amp;IF(COUNTIFS('Agenda 2026'!$Q$2:$Q$376,DATE(2026,7,5),'Agenda 2026'!$M$2:$M$376,1)&gt;=6,CHAR(10)&amp;IFERROR(INDEX('Agenda 2026'!$B$2:$B$376,MATCH(DATE(2026,7,5)*10+6,'Agenda 2026'!$S$2:$S$376,0)),""),"")&amp;IF(COUNTIFS('Agenda 2026'!$Q$2:$Q$376,DATE(2026,7,5),'Agenda 2026'!$M$2:$M$376,1)&gt;=7,CHAR(10)&amp;IFERROR(INDEX('Agenda 2026'!$B$2:$B$376,MATCH(DATE(2026,7,5)*10+7,'Agenda 2026'!$S$2:$S$376,0)),""),"")&amp;IF(COUNTIFS('Agenda 2026'!$Q$2:$Q$376,DATE(2026,7,5),'Agenda 2026'!$M$2:$M$376,1)&gt;=8,CHAR(10)&amp;IFERROR(INDEX('Agenda 2026'!$B$2:$B$376,MATCH(DATE(2026,7,5)*10+8,'Agenda 2026'!$S$2:$S$376,0)),""),"")&amp;IF(COUNTIFS('Agenda 2026'!$Q$2:$Q$376,DATE(2026,7,5),'Agenda 2026'!$M$2:$M$376,1)&gt;=9,CHAR(10)&amp;IFERROR(INDEX('Agenda 2026'!$B$2:$B$376,MATCH(DATE(2026,7,5)*10+9,'Agenda 2026'!$S$2:$S$376,0)),""),"")&amp;IF(COUNTIFS('Agenda 2026'!$Q$2:$Q$376,DATE(2026,7,5),'Agenda 2026'!$M$2:$M$376,1)&gt;=10,CHAR(10)&amp;IFERROR(INDEX('Agenda 2026'!$B$2:$B$376,MATCH(DATE(2026,7,5)*10+10,'Agenda 2026'!$S$2:$S$376,0)),""),"")&amp;IF(COUNTIFS('Agenda 2026'!$Q$2:$Q$376,DATE(2026,7,5),'Agenda 2026'!$M$2:$M$376,1)&gt;=11,CHAR(10)&amp;IFERROR(INDEX('Agenda 2026'!$B$2:$B$376,MATCH(DATE(2026,7,5)*10+11,'Agenda 2026'!$S$2:$S$376,0)),""),"")&amp;IF(COUNTIFS('Agenda 2026'!$Q$2:$Q$376,DATE(2026,7,5),'Agenda 2026'!$M$2:$M$376,1)&gt;=12,CHAR(10)&amp;IFERROR(INDEX('Agenda 2026'!$B$2:$B$376,MATCH(DATE(2026,7,5)*10+12,'Agenda 2026'!$S$2:$S$376,0)),""),"")</f>
        <v>5</v>
      </c>
    </row>
    <row r="65" spans="1:8" ht="45.75" customHeight="1" x14ac:dyDescent="0.35">
      <c r="A65" s="17"/>
      <c r="B65" s="58" t="str">
        <f t="array" ref="B65">6&amp;IF(COUNTIFS('Agenda 2026'!$Q$2:$Q$376,DATE(2026,7,6),'Agenda 2026'!$M$2:$M$376,1)&gt;=1,CHAR(10)&amp;IFERROR(INDEX('Agenda 2026'!$B$2:$B$376,MATCH(DATE(2026,7,6)*10+1,'Agenda 2026'!$S$2:$S$376,0)),""),"")&amp;IF(COUNTIFS('Agenda 2026'!$Q$2:$Q$376,DATE(2026,7,6),'Agenda 2026'!$M$2:$M$376,1)&gt;=2,CHAR(10)&amp;IFERROR(INDEX('Agenda 2026'!$B$2:$B$376,MATCH(DATE(2026,7,6)*10+2,'Agenda 2026'!$S$2:$S$376,0)),""),"")&amp;IF(COUNTIFS('Agenda 2026'!$Q$2:$Q$376,DATE(2026,7,6),'Agenda 2026'!$M$2:$M$376,1)&gt;=3,CHAR(10)&amp;IFERROR(INDEX('Agenda 2026'!$B$2:$B$376,MATCH(DATE(2026,7,6)*10+3,'Agenda 2026'!$S$2:$S$376,0)),""),"")&amp;IF(COUNTIFS('Agenda 2026'!$Q$2:$Q$376,DATE(2026,7,6),'Agenda 2026'!$M$2:$M$376,1)&gt;=4,CHAR(10)&amp;IFERROR(INDEX('Agenda 2026'!$B$2:$B$376,MATCH(DATE(2026,7,6)*10+4,'Agenda 2026'!$S$2:$S$376,0)),""),"")&amp;IF(COUNTIFS('Agenda 2026'!$Q$2:$Q$376,DATE(2026,7,6),'Agenda 2026'!$M$2:$M$376,1)&gt;=5,CHAR(10)&amp;IFERROR(INDEX('Agenda 2026'!$B$2:$B$376,MATCH(DATE(2026,7,6)*10+5,'Agenda 2026'!$S$2:$S$376,0)),""),"")&amp;IF(COUNTIFS('Agenda 2026'!$Q$2:$Q$376,DATE(2026,7,6),'Agenda 2026'!$M$2:$M$376,1)&gt;=6,CHAR(10)&amp;IFERROR(INDEX('Agenda 2026'!$B$2:$B$376,MATCH(DATE(2026,7,6)*10+6,'Agenda 2026'!$S$2:$S$376,0)),""),"")&amp;IF(COUNTIFS('Agenda 2026'!$Q$2:$Q$376,DATE(2026,7,6),'Agenda 2026'!$M$2:$M$376,1)&gt;=7,CHAR(10)&amp;IFERROR(INDEX('Agenda 2026'!$B$2:$B$376,MATCH(DATE(2026,7,6)*10+7,'Agenda 2026'!$S$2:$S$376,0)),""),"")&amp;IF(COUNTIFS('Agenda 2026'!$Q$2:$Q$376,DATE(2026,7,6),'Agenda 2026'!$M$2:$M$376,1)&gt;=8,CHAR(10)&amp;IFERROR(INDEX('Agenda 2026'!$B$2:$B$376,MATCH(DATE(2026,7,6)*10+8,'Agenda 2026'!$S$2:$S$376,0)),""),"")&amp;IF(COUNTIFS('Agenda 2026'!$Q$2:$Q$376,DATE(2026,7,6),'Agenda 2026'!$M$2:$M$376,1)&gt;=9,CHAR(10)&amp;IFERROR(INDEX('Agenda 2026'!$B$2:$B$376,MATCH(DATE(2026,7,6)*10+9,'Agenda 2026'!$S$2:$S$376,0)),""),"")&amp;IF(COUNTIFS('Agenda 2026'!$Q$2:$Q$376,DATE(2026,7,6),'Agenda 2026'!$M$2:$M$376,1)&gt;=10,CHAR(10)&amp;IFERROR(INDEX('Agenda 2026'!$B$2:$B$376,MATCH(DATE(2026,7,6)*10+10,'Agenda 2026'!$S$2:$S$376,0)),""),"")&amp;IF(COUNTIFS('Agenda 2026'!$Q$2:$Q$376,DATE(2026,7,6),'Agenda 2026'!$M$2:$M$376,1)&gt;=11,CHAR(10)&amp;IFERROR(INDEX('Agenda 2026'!$B$2:$B$376,MATCH(DATE(2026,7,6)*10+11,'Agenda 2026'!$S$2:$S$376,0)),""),"")&amp;IF(COUNTIFS('Agenda 2026'!$Q$2:$Q$376,DATE(2026,7,6),'Agenda 2026'!$M$2:$M$376,1)&gt;=12,CHAR(10)&amp;IFERROR(INDEX('Agenda 2026'!$B$2:$B$376,MATCH(DATE(2026,7,6)*10+12,'Agenda 2026'!$S$2:$S$376,0)),""),"")</f>
        <v>6</v>
      </c>
      <c r="C65" s="58" t="str">
        <f t="array" ref="C65">7&amp;IF(COUNTIFS('Agenda 2026'!$Q$2:$Q$376,DATE(2026,7,7),'Agenda 2026'!$M$2:$M$376,1)&gt;=1,CHAR(10)&amp;IFERROR(INDEX('Agenda 2026'!$B$2:$B$376,MATCH(DATE(2026,7,7)*10+1,'Agenda 2026'!$S$2:$S$376,0)),""),"")&amp;IF(COUNTIFS('Agenda 2026'!$Q$2:$Q$376,DATE(2026,7,7),'Agenda 2026'!$M$2:$M$376,1)&gt;=2,CHAR(10)&amp;IFERROR(INDEX('Agenda 2026'!$B$2:$B$376,MATCH(DATE(2026,7,7)*10+2,'Agenda 2026'!$S$2:$S$376,0)),""),"")&amp;IF(COUNTIFS('Agenda 2026'!$Q$2:$Q$376,DATE(2026,7,7),'Agenda 2026'!$M$2:$M$376,1)&gt;=3,CHAR(10)&amp;IFERROR(INDEX('Agenda 2026'!$B$2:$B$376,MATCH(DATE(2026,7,7)*10+3,'Agenda 2026'!$S$2:$S$376,0)),""),"")&amp;IF(COUNTIFS('Agenda 2026'!$Q$2:$Q$376,DATE(2026,7,7),'Agenda 2026'!$M$2:$M$376,1)&gt;=4,CHAR(10)&amp;IFERROR(INDEX('Agenda 2026'!$B$2:$B$376,MATCH(DATE(2026,7,7)*10+4,'Agenda 2026'!$S$2:$S$376,0)),""),"")&amp;IF(COUNTIFS('Agenda 2026'!$Q$2:$Q$376,DATE(2026,7,7),'Agenda 2026'!$M$2:$M$376,1)&gt;=5,CHAR(10)&amp;IFERROR(INDEX('Agenda 2026'!$B$2:$B$376,MATCH(DATE(2026,7,7)*10+5,'Agenda 2026'!$S$2:$S$376,0)),""),"")&amp;IF(COUNTIFS('Agenda 2026'!$Q$2:$Q$376,DATE(2026,7,7),'Agenda 2026'!$M$2:$M$376,1)&gt;=6,CHAR(10)&amp;IFERROR(INDEX('Agenda 2026'!$B$2:$B$376,MATCH(DATE(2026,7,7)*10+6,'Agenda 2026'!$S$2:$S$376,0)),""),"")&amp;IF(COUNTIFS('Agenda 2026'!$Q$2:$Q$376,DATE(2026,7,7),'Agenda 2026'!$M$2:$M$376,1)&gt;=7,CHAR(10)&amp;IFERROR(INDEX('Agenda 2026'!$B$2:$B$376,MATCH(DATE(2026,7,7)*10+7,'Agenda 2026'!$S$2:$S$376,0)),""),"")&amp;IF(COUNTIFS('Agenda 2026'!$Q$2:$Q$376,DATE(2026,7,7),'Agenda 2026'!$M$2:$M$376,1)&gt;=8,CHAR(10)&amp;IFERROR(INDEX('Agenda 2026'!$B$2:$B$376,MATCH(DATE(2026,7,7)*10+8,'Agenda 2026'!$S$2:$S$376,0)),""),"")&amp;IF(COUNTIFS('Agenda 2026'!$Q$2:$Q$376,DATE(2026,7,7),'Agenda 2026'!$M$2:$M$376,1)&gt;=9,CHAR(10)&amp;IFERROR(INDEX('Agenda 2026'!$B$2:$B$376,MATCH(DATE(2026,7,7)*10+9,'Agenda 2026'!$S$2:$S$376,0)),""),"")&amp;IF(COUNTIFS('Agenda 2026'!$Q$2:$Q$376,DATE(2026,7,7),'Agenda 2026'!$M$2:$M$376,1)&gt;=10,CHAR(10)&amp;IFERROR(INDEX('Agenda 2026'!$B$2:$B$376,MATCH(DATE(2026,7,7)*10+10,'Agenda 2026'!$S$2:$S$376,0)),""),"")&amp;IF(COUNTIFS('Agenda 2026'!$Q$2:$Q$376,DATE(2026,7,7),'Agenda 2026'!$M$2:$M$376,1)&gt;=11,CHAR(10)&amp;IFERROR(INDEX('Agenda 2026'!$B$2:$B$376,MATCH(DATE(2026,7,7)*10+11,'Agenda 2026'!$S$2:$S$376,0)),""),"")&amp;IF(COUNTIFS('Agenda 2026'!$Q$2:$Q$376,DATE(2026,7,7),'Agenda 2026'!$M$2:$M$376,1)&gt;=12,CHAR(10)&amp;IFERROR(INDEX('Agenda 2026'!$B$2:$B$376,MATCH(DATE(2026,7,7)*10+12,'Agenda 2026'!$S$2:$S$376,0)),""),"")</f>
        <v>7</v>
      </c>
      <c r="D65" s="58" t="str">
        <f t="array" ref="D65">8&amp;IF(COUNTIFS('Agenda 2026'!$Q$2:$Q$376,DATE(2026,7,8),'Agenda 2026'!$M$2:$M$376,1)&gt;=1,CHAR(10)&amp;IFERROR(INDEX('Agenda 2026'!$B$2:$B$376,MATCH(DATE(2026,7,8)*10+1,'Agenda 2026'!$S$2:$S$376,0)),""),"")&amp;IF(COUNTIFS('Agenda 2026'!$Q$2:$Q$376,DATE(2026,7,8),'Agenda 2026'!$M$2:$M$376,1)&gt;=2,CHAR(10)&amp;IFERROR(INDEX('Agenda 2026'!$B$2:$B$376,MATCH(DATE(2026,7,8)*10+2,'Agenda 2026'!$S$2:$S$376,0)),""),"")&amp;IF(COUNTIFS('Agenda 2026'!$Q$2:$Q$376,DATE(2026,7,8),'Agenda 2026'!$M$2:$M$376,1)&gt;=3,CHAR(10)&amp;IFERROR(INDEX('Agenda 2026'!$B$2:$B$376,MATCH(DATE(2026,7,8)*10+3,'Agenda 2026'!$S$2:$S$376,0)),""),"")&amp;IF(COUNTIFS('Agenda 2026'!$Q$2:$Q$376,DATE(2026,7,8),'Agenda 2026'!$M$2:$M$376,1)&gt;=4,CHAR(10)&amp;IFERROR(INDEX('Agenda 2026'!$B$2:$B$376,MATCH(DATE(2026,7,8)*10+4,'Agenda 2026'!$S$2:$S$376,0)),""),"")&amp;IF(COUNTIFS('Agenda 2026'!$Q$2:$Q$376,DATE(2026,7,8),'Agenda 2026'!$M$2:$M$376,1)&gt;=5,CHAR(10)&amp;IFERROR(INDEX('Agenda 2026'!$B$2:$B$376,MATCH(DATE(2026,7,8)*10+5,'Agenda 2026'!$S$2:$S$376,0)),""),"")&amp;IF(COUNTIFS('Agenda 2026'!$Q$2:$Q$376,DATE(2026,7,8),'Agenda 2026'!$M$2:$M$376,1)&gt;=6,CHAR(10)&amp;IFERROR(INDEX('Agenda 2026'!$B$2:$B$376,MATCH(DATE(2026,7,8)*10+6,'Agenda 2026'!$S$2:$S$376,0)),""),"")&amp;IF(COUNTIFS('Agenda 2026'!$Q$2:$Q$376,DATE(2026,7,8),'Agenda 2026'!$M$2:$M$376,1)&gt;=7,CHAR(10)&amp;IFERROR(INDEX('Agenda 2026'!$B$2:$B$376,MATCH(DATE(2026,7,8)*10+7,'Agenda 2026'!$S$2:$S$376,0)),""),"")&amp;IF(COUNTIFS('Agenda 2026'!$Q$2:$Q$376,DATE(2026,7,8),'Agenda 2026'!$M$2:$M$376,1)&gt;=8,CHAR(10)&amp;IFERROR(INDEX('Agenda 2026'!$B$2:$B$376,MATCH(DATE(2026,7,8)*10+8,'Agenda 2026'!$S$2:$S$376,0)),""),"")&amp;IF(COUNTIFS('Agenda 2026'!$Q$2:$Q$376,DATE(2026,7,8),'Agenda 2026'!$M$2:$M$376,1)&gt;=9,CHAR(10)&amp;IFERROR(INDEX('Agenda 2026'!$B$2:$B$376,MATCH(DATE(2026,7,8)*10+9,'Agenda 2026'!$S$2:$S$376,0)),""),"")&amp;IF(COUNTIFS('Agenda 2026'!$Q$2:$Q$376,DATE(2026,7,8),'Agenda 2026'!$M$2:$M$376,1)&gt;=10,CHAR(10)&amp;IFERROR(INDEX('Agenda 2026'!$B$2:$B$376,MATCH(DATE(2026,7,8)*10+10,'Agenda 2026'!$S$2:$S$376,0)),""),"")&amp;IF(COUNTIFS('Agenda 2026'!$Q$2:$Q$376,DATE(2026,7,8),'Agenda 2026'!$M$2:$M$376,1)&gt;=11,CHAR(10)&amp;IFERROR(INDEX('Agenda 2026'!$B$2:$B$376,MATCH(DATE(2026,7,8)*10+11,'Agenda 2026'!$S$2:$S$376,0)),""),"")&amp;IF(COUNTIFS('Agenda 2026'!$Q$2:$Q$376,DATE(2026,7,8),'Agenda 2026'!$M$2:$M$376,1)&gt;=12,CHAR(10)&amp;IFERROR(INDEX('Agenda 2026'!$B$2:$B$376,MATCH(DATE(2026,7,8)*10+12,'Agenda 2026'!$S$2:$S$376,0)),""),"")</f>
        <v>8</v>
      </c>
      <c r="E65" s="58" t="str">
        <f t="array" ref="E65">9&amp;IF(COUNTIFS('Agenda 2026'!$Q$2:$Q$376,DATE(2026,7,9),'Agenda 2026'!$M$2:$M$376,1)&gt;=1,CHAR(10)&amp;IFERROR(INDEX('Agenda 2026'!$B$2:$B$376,MATCH(DATE(2026,7,9)*10+1,'Agenda 2026'!$S$2:$S$376,0)),""),"")&amp;IF(COUNTIFS('Agenda 2026'!$Q$2:$Q$376,DATE(2026,7,9),'Agenda 2026'!$M$2:$M$376,1)&gt;=2,CHAR(10)&amp;IFERROR(INDEX('Agenda 2026'!$B$2:$B$376,MATCH(DATE(2026,7,9)*10+2,'Agenda 2026'!$S$2:$S$376,0)),""),"")&amp;IF(COUNTIFS('Agenda 2026'!$Q$2:$Q$376,DATE(2026,7,9),'Agenda 2026'!$M$2:$M$376,1)&gt;=3,CHAR(10)&amp;IFERROR(INDEX('Agenda 2026'!$B$2:$B$376,MATCH(DATE(2026,7,9)*10+3,'Agenda 2026'!$S$2:$S$376,0)),""),"")&amp;IF(COUNTIFS('Agenda 2026'!$Q$2:$Q$376,DATE(2026,7,9),'Agenda 2026'!$M$2:$M$376,1)&gt;=4,CHAR(10)&amp;IFERROR(INDEX('Agenda 2026'!$B$2:$B$376,MATCH(DATE(2026,7,9)*10+4,'Agenda 2026'!$S$2:$S$376,0)),""),"")&amp;IF(COUNTIFS('Agenda 2026'!$Q$2:$Q$376,DATE(2026,7,9),'Agenda 2026'!$M$2:$M$376,1)&gt;=5,CHAR(10)&amp;IFERROR(INDEX('Agenda 2026'!$B$2:$B$376,MATCH(DATE(2026,7,9)*10+5,'Agenda 2026'!$S$2:$S$376,0)),""),"")&amp;IF(COUNTIFS('Agenda 2026'!$Q$2:$Q$376,DATE(2026,7,9),'Agenda 2026'!$M$2:$M$376,1)&gt;=6,CHAR(10)&amp;IFERROR(INDEX('Agenda 2026'!$B$2:$B$376,MATCH(DATE(2026,7,9)*10+6,'Agenda 2026'!$S$2:$S$376,0)),""),"")&amp;IF(COUNTIFS('Agenda 2026'!$Q$2:$Q$376,DATE(2026,7,9),'Agenda 2026'!$M$2:$M$376,1)&gt;=7,CHAR(10)&amp;IFERROR(INDEX('Agenda 2026'!$B$2:$B$376,MATCH(DATE(2026,7,9)*10+7,'Agenda 2026'!$S$2:$S$376,0)),""),"")&amp;IF(COUNTIFS('Agenda 2026'!$Q$2:$Q$376,DATE(2026,7,9),'Agenda 2026'!$M$2:$M$376,1)&gt;=8,CHAR(10)&amp;IFERROR(INDEX('Agenda 2026'!$B$2:$B$376,MATCH(DATE(2026,7,9)*10+8,'Agenda 2026'!$S$2:$S$376,0)),""),"")&amp;IF(COUNTIFS('Agenda 2026'!$Q$2:$Q$376,DATE(2026,7,9),'Agenda 2026'!$M$2:$M$376,1)&gt;=9,CHAR(10)&amp;IFERROR(INDEX('Agenda 2026'!$B$2:$B$376,MATCH(DATE(2026,7,9)*10+9,'Agenda 2026'!$S$2:$S$376,0)),""),"")&amp;IF(COUNTIFS('Agenda 2026'!$Q$2:$Q$376,DATE(2026,7,9),'Agenda 2026'!$M$2:$M$376,1)&gt;=10,CHAR(10)&amp;IFERROR(INDEX('Agenda 2026'!$B$2:$B$376,MATCH(DATE(2026,7,9)*10+10,'Agenda 2026'!$S$2:$S$376,0)),""),"")&amp;IF(COUNTIFS('Agenda 2026'!$Q$2:$Q$376,DATE(2026,7,9),'Agenda 2026'!$M$2:$M$376,1)&gt;=11,CHAR(10)&amp;IFERROR(INDEX('Agenda 2026'!$B$2:$B$376,MATCH(DATE(2026,7,9)*10+11,'Agenda 2026'!$S$2:$S$376,0)),""),"")&amp;IF(COUNTIFS('Agenda 2026'!$Q$2:$Q$376,DATE(2026,7,9),'Agenda 2026'!$M$2:$M$376,1)&gt;=12,CHAR(10)&amp;IFERROR(INDEX('Agenda 2026'!$B$2:$B$376,MATCH(DATE(2026,7,9)*10+12,'Agenda 2026'!$S$2:$S$376,0)),""),"")</f>
        <v>9</v>
      </c>
      <c r="F65" s="58" t="str">
        <f t="array" ref="F65">10&amp;IF(COUNTIFS('Agenda 2026'!$Q$2:$Q$376,DATE(2026,7,10),'Agenda 2026'!$M$2:$M$376,1)&gt;=1,CHAR(10)&amp;IFERROR(INDEX('Agenda 2026'!$B$2:$B$376,MATCH(DATE(2026,7,10)*10+1,'Agenda 2026'!$S$2:$S$376,0)),""),"")&amp;IF(COUNTIFS('Agenda 2026'!$Q$2:$Q$376,DATE(2026,7,10),'Agenda 2026'!$M$2:$M$376,1)&gt;=2,CHAR(10)&amp;IFERROR(INDEX('Agenda 2026'!$B$2:$B$376,MATCH(DATE(2026,7,10)*10+2,'Agenda 2026'!$S$2:$S$376,0)),""),"")&amp;IF(COUNTIFS('Agenda 2026'!$Q$2:$Q$376,DATE(2026,7,10),'Agenda 2026'!$M$2:$M$376,1)&gt;=3,CHAR(10)&amp;IFERROR(INDEX('Agenda 2026'!$B$2:$B$376,MATCH(DATE(2026,7,10)*10+3,'Agenda 2026'!$S$2:$S$376,0)),""),"")&amp;IF(COUNTIFS('Agenda 2026'!$Q$2:$Q$376,DATE(2026,7,10),'Agenda 2026'!$M$2:$M$376,1)&gt;=4,CHAR(10)&amp;IFERROR(INDEX('Agenda 2026'!$B$2:$B$376,MATCH(DATE(2026,7,10)*10+4,'Agenda 2026'!$S$2:$S$376,0)),""),"")&amp;IF(COUNTIFS('Agenda 2026'!$Q$2:$Q$376,DATE(2026,7,10),'Agenda 2026'!$M$2:$M$376,1)&gt;=5,CHAR(10)&amp;IFERROR(INDEX('Agenda 2026'!$B$2:$B$376,MATCH(DATE(2026,7,10)*10+5,'Agenda 2026'!$S$2:$S$376,0)),""),"")&amp;IF(COUNTIFS('Agenda 2026'!$Q$2:$Q$376,DATE(2026,7,10),'Agenda 2026'!$M$2:$M$376,1)&gt;=6,CHAR(10)&amp;IFERROR(INDEX('Agenda 2026'!$B$2:$B$376,MATCH(DATE(2026,7,10)*10+6,'Agenda 2026'!$S$2:$S$376,0)),""),"")&amp;IF(COUNTIFS('Agenda 2026'!$Q$2:$Q$376,DATE(2026,7,10),'Agenda 2026'!$M$2:$M$376,1)&gt;=7,CHAR(10)&amp;IFERROR(INDEX('Agenda 2026'!$B$2:$B$376,MATCH(DATE(2026,7,10)*10+7,'Agenda 2026'!$S$2:$S$376,0)),""),"")&amp;IF(COUNTIFS('Agenda 2026'!$Q$2:$Q$376,DATE(2026,7,10),'Agenda 2026'!$M$2:$M$376,1)&gt;=8,CHAR(10)&amp;IFERROR(INDEX('Agenda 2026'!$B$2:$B$376,MATCH(DATE(2026,7,10)*10+8,'Agenda 2026'!$S$2:$S$376,0)),""),"")&amp;IF(COUNTIFS('Agenda 2026'!$Q$2:$Q$376,DATE(2026,7,10),'Agenda 2026'!$M$2:$M$376,1)&gt;=9,CHAR(10)&amp;IFERROR(INDEX('Agenda 2026'!$B$2:$B$376,MATCH(DATE(2026,7,10)*10+9,'Agenda 2026'!$S$2:$S$376,0)),""),"")&amp;IF(COUNTIFS('Agenda 2026'!$Q$2:$Q$376,DATE(2026,7,10),'Agenda 2026'!$M$2:$M$376,1)&gt;=10,CHAR(10)&amp;IFERROR(INDEX('Agenda 2026'!$B$2:$B$376,MATCH(DATE(2026,7,10)*10+10,'Agenda 2026'!$S$2:$S$376,0)),""),"")&amp;IF(COUNTIFS('Agenda 2026'!$Q$2:$Q$376,DATE(2026,7,10),'Agenda 2026'!$M$2:$M$376,1)&gt;=11,CHAR(10)&amp;IFERROR(INDEX('Agenda 2026'!$B$2:$B$376,MATCH(DATE(2026,7,10)*10+11,'Agenda 2026'!$S$2:$S$376,0)),""),"")&amp;IF(COUNTIFS('Agenda 2026'!$Q$2:$Q$376,DATE(2026,7,10),'Agenda 2026'!$M$2:$M$376,1)&gt;=12,CHAR(10)&amp;IFERROR(INDEX('Agenda 2026'!$B$2:$B$376,MATCH(DATE(2026,7,10)*10+12,'Agenda 2026'!$S$2:$S$376,0)),""),"")</f>
        <v>10</v>
      </c>
      <c r="G65" s="58" t="str">
        <f t="array" ref="G65">11&amp;IF(COUNTIFS('Agenda 2026'!$Q$2:$Q$376,DATE(2026,7,11),'Agenda 2026'!$M$2:$M$376,1)&gt;=1,CHAR(10)&amp;IFERROR(INDEX('Agenda 2026'!$B$2:$B$376,MATCH(DATE(2026,7,11)*10+1,'Agenda 2026'!$S$2:$S$376,0)),""),"")&amp;IF(COUNTIFS('Agenda 2026'!$Q$2:$Q$376,DATE(2026,7,11),'Agenda 2026'!$M$2:$M$376,1)&gt;=2,CHAR(10)&amp;IFERROR(INDEX('Agenda 2026'!$B$2:$B$376,MATCH(DATE(2026,7,11)*10+2,'Agenda 2026'!$S$2:$S$376,0)),""),"")&amp;IF(COUNTIFS('Agenda 2026'!$Q$2:$Q$376,DATE(2026,7,11),'Agenda 2026'!$M$2:$M$376,1)&gt;=3,CHAR(10)&amp;IFERROR(INDEX('Agenda 2026'!$B$2:$B$376,MATCH(DATE(2026,7,11)*10+3,'Agenda 2026'!$S$2:$S$376,0)),""),"")&amp;IF(COUNTIFS('Agenda 2026'!$Q$2:$Q$376,DATE(2026,7,11),'Agenda 2026'!$M$2:$M$376,1)&gt;=4,CHAR(10)&amp;IFERROR(INDEX('Agenda 2026'!$B$2:$B$376,MATCH(DATE(2026,7,11)*10+4,'Agenda 2026'!$S$2:$S$376,0)),""),"")&amp;IF(COUNTIFS('Agenda 2026'!$Q$2:$Q$376,DATE(2026,7,11),'Agenda 2026'!$M$2:$M$376,1)&gt;=5,CHAR(10)&amp;IFERROR(INDEX('Agenda 2026'!$B$2:$B$376,MATCH(DATE(2026,7,11)*10+5,'Agenda 2026'!$S$2:$S$376,0)),""),"")&amp;IF(COUNTIFS('Agenda 2026'!$Q$2:$Q$376,DATE(2026,7,11),'Agenda 2026'!$M$2:$M$376,1)&gt;=6,CHAR(10)&amp;IFERROR(INDEX('Agenda 2026'!$B$2:$B$376,MATCH(DATE(2026,7,11)*10+6,'Agenda 2026'!$S$2:$S$376,0)),""),"")&amp;IF(COUNTIFS('Agenda 2026'!$Q$2:$Q$376,DATE(2026,7,11),'Agenda 2026'!$M$2:$M$376,1)&gt;=7,CHAR(10)&amp;IFERROR(INDEX('Agenda 2026'!$B$2:$B$376,MATCH(DATE(2026,7,11)*10+7,'Agenda 2026'!$S$2:$S$376,0)),""),"")&amp;IF(COUNTIFS('Agenda 2026'!$Q$2:$Q$376,DATE(2026,7,11),'Agenda 2026'!$M$2:$M$376,1)&gt;=8,CHAR(10)&amp;IFERROR(INDEX('Agenda 2026'!$B$2:$B$376,MATCH(DATE(2026,7,11)*10+8,'Agenda 2026'!$S$2:$S$376,0)),""),"")&amp;IF(COUNTIFS('Agenda 2026'!$Q$2:$Q$376,DATE(2026,7,11),'Agenda 2026'!$M$2:$M$376,1)&gt;=9,CHAR(10)&amp;IFERROR(INDEX('Agenda 2026'!$B$2:$B$376,MATCH(DATE(2026,7,11)*10+9,'Agenda 2026'!$S$2:$S$376,0)),""),"")&amp;IF(COUNTIFS('Agenda 2026'!$Q$2:$Q$376,DATE(2026,7,11),'Agenda 2026'!$M$2:$M$376,1)&gt;=10,CHAR(10)&amp;IFERROR(INDEX('Agenda 2026'!$B$2:$B$376,MATCH(DATE(2026,7,11)*10+10,'Agenda 2026'!$S$2:$S$376,0)),""),"")&amp;IF(COUNTIFS('Agenda 2026'!$Q$2:$Q$376,DATE(2026,7,11),'Agenda 2026'!$M$2:$M$376,1)&gt;=11,CHAR(10)&amp;IFERROR(INDEX('Agenda 2026'!$B$2:$B$376,MATCH(DATE(2026,7,11)*10+11,'Agenda 2026'!$S$2:$S$376,0)),""),"")&amp;IF(COUNTIFS('Agenda 2026'!$Q$2:$Q$376,DATE(2026,7,11),'Agenda 2026'!$M$2:$M$376,1)&gt;=12,CHAR(10)&amp;IFERROR(INDEX('Agenda 2026'!$B$2:$B$376,MATCH(DATE(2026,7,11)*10+12,'Agenda 2026'!$S$2:$S$376,0)),""),"")</f>
        <v>11</v>
      </c>
      <c r="H65" s="58" t="str">
        <f t="array" ref="H65">12&amp;IF(COUNTIFS('Agenda 2026'!$Q$2:$Q$376,DATE(2026,7,12),'Agenda 2026'!$M$2:$M$376,1)&gt;=1,CHAR(10)&amp;IFERROR(INDEX('Agenda 2026'!$B$2:$B$376,MATCH(DATE(2026,7,12)*10+1,'Agenda 2026'!$S$2:$S$376,0)),""),"")&amp;IF(COUNTIFS('Agenda 2026'!$Q$2:$Q$376,DATE(2026,7,12),'Agenda 2026'!$M$2:$M$376,1)&gt;=2,CHAR(10)&amp;IFERROR(INDEX('Agenda 2026'!$B$2:$B$376,MATCH(DATE(2026,7,12)*10+2,'Agenda 2026'!$S$2:$S$376,0)),""),"")&amp;IF(COUNTIFS('Agenda 2026'!$Q$2:$Q$376,DATE(2026,7,12),'Agenda 2026'!$M$2:$M$376,1)&gt;=3,CHAR(10)&amp;IFERROR(INDEX('Agenda 2026'!$B$2:$B$376,MATCH(DATE(2026,7,12)*10+3,'Agenda 2026'!$S$2:$S$376,0)),""),"")&amp;IF(COUNTIFS('Agenda 2026'!$Q$2:$Q$376,DATE(2026,7,12),'Agenda 2026'!$M$2:$M$376,1)&gt;=4,CHAR(10)&amp;IFERROR(INDEX('Agenda 2026'!$B$2:$B$376,MATCH(DATE(2026,7,12)*10+4,'Agenda 2026'!$S$2:$S$376,0)),""),"")&amp;IF(COUNTIFS('Agenda 2026'!$Q$2:$Q$376,DATE(2026,7,12),'Agenda 2026'!$M$2:$M$376,1)&gt;=5,CHAR(10)&amp;IFERROR(INDEX('Agenda 2026'!$B$2:$B$376,MATCH(DATE(2026,7,12)*10+5,'Agenda 2026'!$S$2:$S$376,0)),""),"")&amp;IF(COUNTIFS('Agenda 2026'!$Q$2:$Q$376,DATE(2026,7,12),'Agenda 2026'!$M$2:$M$376,1)&gt;=6,CHAR(10)&amp;IFERROR(INDEX('Agenda 2026'!$B$2:$B$376,MATCH(DATE(2026,7,12)*10+6,'Agenda 2026'!$S$2:$S$376,0)),""),"")&amp;IF(COUNTIFS('Agenda 2026'!$Q$2:$Q$376,DATE(2026,7,12),'Agenda 2026'!$M$2:$M$376,1)&gt;=7,CHAR(10)&amp;IFERROR(INDEX('Agenda 2026'!$B$2:$B$376,MATCH(DATE(2026,7,12)*10+7,'Agenda 2026'!$S$2:$S$376,0)),""),"")&amp;IF(COUNTIFS('Agenda 2026'!$Q$2:$Q$376,DATE(2026,7,12),'Agenda 2026'!$M$2:$M$376,1)&gt;=8,CHAR(10)&amp;IFERROR(INDEX('Agenda 2026'!$B$2:$B$376,MATCH(DATE(2026,7,12)*10+8,'Agenda 2026'!$S$2:$S$376,0)),""),"")&amp;IF(COUNTIFS('Agenda 2026'!$Q$2:$Q$376,DATE(2026,7,12),'Agenda 2026'!$M$2:$M$376,1)&gt;=9,CHAR(10)&amp;IFERROR(INDEX('Agenda 2026'!$B$2:$B$376,MATCH(DATE(2026,7,12)*10+9,'Agenda 2026'!$S$2:$S$376,0)),""),"")&amp;IF(COUNTIFS('Agenda 2026'!$Q$2:$Q$376,DATE(2026,7,12),'Agenda 2026'!$M$2:$M$376,1)&gt;=10,CHAR(10)&amp;IFERROR(INDEX('Agenda 2026'!$B$2:$B$376,MATCH(DATE(2026,7,12)*10+10,'Agenda 2026'!$S$2:$S$376,0)),""),"")&amp;IF(COUNTIFS('Agenda 2026'!$Q$2:$Q$376,DATE(2026,7,12),'Agenda 2026'!$M$2:$M$376,1)&gt;=11,CHAR(10)&amp;IFERROR(INDEX('Agenda 2026'!$B$2:$B$376,MATCH(DATE(2026,7,12)*10+11,'Agenda 2026'!$S$2:$S$376,0)),""),"")&amp;IF(COUNTIFS('Agenda 2026'!$Q$2:$Q$376,DATE(2026,7,12),'Agenda 2026'!$M$2:$M$376,1)&gt;=12,CHAR(10)&amp;IFERROR(INDEX('Agenda 2026'!$B$2:$B$376,MATCH(DATE(2026,7,12)*10+12,'Agenda 2026'!$S$2:$S$376,0)),""),"")</f>
        <v>12</v>
      </c>
    </row>
    <row r="66" spans="1:8" ht="57.75" customHeight="1" x14ac:dyDescent="0.35">
      <c r="A66" s="17"/>
      <c r="B66" s="58" t="str">
        <f t="array" ref="B66">13&amp;IF(COUNTIFS('Agenda 2026'!$Q$2:$Q$376,DATE(2026,7,13),'Agenda 2026'!$M$2:$M$376,1)&gt;=1,CHAR(10)&amp;IFERROR(INDEX('Agenda 2026'!$B$2:$B$376,MATCH(DATE(2026,7,13)*10+1,'Agenda 2026'!$S$2:$S$376,0)),""),"")&amp;IF(COUNTIFS('Agenda 2026'!$Q$2:$Q$376,DATE(2026,7,13),'Agenda 2026'!$M$2:$M$376,1)&gt;=2,CHAR(10)&amp;IFERROR(INDEX('Agenda 2026'!$B$2:$B$376,MATCH(DATE(2026,7,13)*10+2,'Agenda 2026'!$S$2:$S$376,0)),""),"")&amp;IF(COUNTIFS('Agenda 2026'!$Q$2:$Q$376,DATE(2026,7,13),'Agenda 2026'!$M$2:$M$376,1)&gt;=3,CHAR(10)&amp;IFERROR(INDEX('Agenda 2026'!$B$2:$B$376,MATCH(DATE(2026,7,13)*10+3,'Agenda 2026'!$S$2:$S$376,0)),""),"")&amp;IF(COUNTIFS('Agenda 2026'!$Q$2:$Q$376,DATE(2026,7,13),'Agenda 2026'!$M$2:$M$376,1)&gt;=4,CHAR(10)&amp;IFERROR(INDEX('Agenda 2026'!$B$2:$B$376,MATCH(DATE(2026,7,13)*10+4,'Agenda 2026'!$S$2:$S$376,0)),""),"")&amp;IF(COUNTIFS('Agenda 2026'!$Q$2:$Q$376,DATE(2026,7,13),'Agenda 2026'!$M$2:$M$376,1)&gt;=5,CHAR(10)&amp;IFERROR(INDEX('Agenda 2026'!$B$2:$B$376,MATCH(DATE(2026,7,13)*10+5,'Agenda 2026'!$S$2:$S$376,0)),""),"")&amp;IF(COUNTIFS('Agenda 2026'!$Q$2:$Q$376,DATE(2026,7,13),'Agenda 2026'!$M$2:$M$376,1)&gt;=6,CHAR(10)&amp;IFERROR(INDEX('Agenda 2026'!$B$2:$B$376,MATCH(DATE(2026,7,13)*10+6,'Agenda 2026'!$S$2:$S$376,0)),""),"")&amp;IF(COUNTIFS('Agenda 2026'!$Q$2:$Q$376,DATE(2026,7,13),'Agenda 2026'!$M$2:$M$376,1)&gt;=7,CHAR(10)&amp;IFERROR(INDEX('Agenda 2026'!$B$2:$B$376,MATCH(DATE(2026,7,13)*10+7,'Agenda 2026'!$S$2:$S$376,0)),""),"")&amp;IF(COUNTIFS('Agenda 2026'!$Q$2:$Q$376,DATE(2026,7,13),'Agenda 2026'!$M$2:$M$376,1)&gt;=8,CHAR(10)&amp;IFERROR(INDEX('Agenda 2026'!$B$2:$B$376,MATCH(DATE(2026,7,13)*10+8,'Agenda 2026'!$S$2:$S$376,0)),""),"")&amp;IF(COUNTIFS('Agenda 2026'!$Q$2:$Q$376,DATE(2026,7,13),'Agenda 2026'!$M$2:$M$376,1)&gt;=9,CHAR(10)&amp;IFERROR(INDEX('Agenda 2026'!$B$2:$B$376,MATCH(DATE(2026,7,13)*10+9,'Agenda 2026'!$S$2:$S$376,0)),""),"")&amp;IF(COUNTIFS('Agenda 2026'!$Q$2:$Q$376,DATE(2026,7,13),'Agenda 2026'!$M$2:$M$376,1)&gt;=10,CHAR(10)&amp;IFERROR(INDEX('Agenda 2026'!$B$2:$B$376,MATCH(DATE(2026,7,13)*10+10,'Agenda 2026'!$S$2:$S$376,0)),""),"")&amp;IF(COUNTIFS('Agenda 2026'!$Q$2:$Q$376,DATE(2026,7,13),'Agenda 2026'!$M$2:$M$376,1)&gt;=11,CHAR(10)&amp;IFERROR(INDEX('Agenda 2026'!$B$2:$B$376,MATCH(DATE(2026,7,13)*10+11,'Agenda 2026'!$S$2:$S$376,0)),""),"")&amp;IF(COUNTIFS('Agenda 2026'!$Q$2:$Q$376,DATE(2026,7,13),'Agenda 2026'!$M$2:$M$376,1)&gt;=12,CHAR(10)&amp;IFERROR(INDEX('Agenda 2026'!$B$2:$B$376,MATCH(DATE(2026,7,13)*10+12,'Agenda 2026'!$S$2:$S$376,0)),""),"")</f>
        <v>13</v>
      </c>
      <c r="C66" s="58" t="str">
        <f t="array" ref="C66">14&amp;IF(COUNTIFS('Agenda 2026'!$Q$2:$Q$376,DATE(2026,7,14),'Agenda 2026'!$M$2:$M$376,1)&gt;=1,CHAR(10)&amp;IFERROR(INDEX('Agenda 2026'!$B$2:$B$376,MATCH(DATE(2026,7,14)*10+1,'Agenda 2026'!$S$2:$S$376,0)),""),"")&amp;IF(COUNTIFS('Agenda 2026'!$Q$2:$Q$376,DATE(2026,7,14),'Agenda 2026'!$M$2:$M$376,1)&gt;=2,CHAR(10)&amp;IFERROR(INDEX('Agenda 2026'!$B$2:$B$376,MATCH(DATE(2026,7,14)*10+2,'Agenda 2026'!$S$2:$S$376,0)),""),"")&amp;IF(COUNTIFS('Agenda 2026'!$Q$2:$Q$376,DATE(2026,7,14),'Agenda 2026'!$M$2:$M$376,1)&gt;=3,CHAR(10)&amp;IFERROR(INDEX('Agenda 2026'!$B$2:$B$376,MATCH(DATE(2026,7,14)*10+3,'Agenda 2026'!$S$2:$S$376,0)),""),"")&amp;IF(COUNTIFS('Agenda 2026'!$Q$2:$Q$376,DATE(2026,7,14),'Agenda 2026'!$M$2:$M$376,1)&gt;=4,CHAR(10)&amp;IFERROR(INDEX('Agenda 2026'!$B$2:$B$376,MATCH(DATE(2026,7,14)*10+4,'Agenda 2026'!$S$2:$S$376,0)),""),"")&amp;IF(COUNTIFS('Agenda 2026'!$Q$2:$Q$376,DATE(2026,7,14),'Agenda 2026'!$M$2:$M$376,1)&gt;=5,CHAR(10)&amp;IFERROR(INDEX('Agenda 2026'!$B$2:$B$376,MATCH(DATE(2026,7,14)*10+5,'Agenda 2026'!$S$2:$S$376,0)),""),"")&amp;IF(COUNTIFS('Agenda 2026'!$Q$2:$Q$376,DATE(2026,7,14),'Agenda 2026'!$M$2:$M$376,1)&gt;=6,CHAR(10)&amp;IFERROR(INDEX('Agenda 2026'!$B$2:$B$376,MATCH(DATE(2026,7,14)*10+6,'Agenda 2026'!$S$2:$S$376,0)),""),"")&amp;IF(COUNTIFS('Agenda 2026'!$Q$2:$Q$376,DATE(2026,7,14),'Agenda 2026'!$M$2:$M$376,1)&gt;=7,CHAR(10)&amp;IFERROR(INDEX('Agenda 2026'!$B$2:$B$376,MATCH(DATE(2026,7,14)*10+7,'Agenda 2026'!$S$2:$S$376,0)),""),"")&amp;IF(COUNTIFS('Agenda 2026'!$Q$2:$Q$376,DATE(2026,7,14),'Agenda 2026'!$M$2:$M$376,1)&gt;=8,CHAR(10)&amp;IFERROR(INDEX('Agenda 2026'!$B$2:$B$376,MATCH(DATE(2026,7,14)*10+8,'Agenda 2026'!$S$2:$S$376,0)),""),"")&amp;IF(COUNTIFS('Agenda 2026'!$Q$2:$Q$376,DATE(2026,7,14),'Agenda 2026'!$M$2:$M$376,1)&gt;=9,CHAR(10)&amp;IFERROR(INDEX('Agenda 2026'!$B$2:$B$376,MATCH(DATE(2026,7,14)*10+9,'Agenda 2026'!$S$2:$S$376,0)),""),"")&amp;IF(COUNTIFS('Agenda 2026'!$Q$2:$Q$376,DATE(2026,7,14),'Agenda 2026'!$M$2:$M$376,1)&gt;=10,CHAR(10)&amp;IFERROR(INDEX('Agenda 2026'!$B$2:$B$376,MATCH(DATE(2026,7,14)*10+10,'Agenda 2026'!$S$2:$S$376,0)),""),"")&amp;IF(COUNTIFS('Agenda 2026'!$Q$2:$Q$376,DATE(2026,7,14),'Agenda 2026'!$M$2:$M$376,1)&gt;=11,CHAR(10)&amp;IFERROR(INDEX('Agenda 2026'!$B$2:$B$376,MATCH(DATE(2026,7,14)*10+11,'Agenda 2026'!$S$2:$S$376,0)),""),"")&amp;IF(COUNTIFS('Agenda 2026'!$Q$2:$Q$376,DATE(2026,7,14),'Agenda 2026'!$M$2:$M$376,1)&gt;=12,CHAR(10)&amp;IFERROR(INDEX('Agenda 2026'!$B$2:$B$376,MATCH(DATE(2026,7,14)*10+12,'Agenda 2026'!$S$2:$S$376,0)),""),"")</f>
        <v>14</v>
      </c>
      <c r="D66" s="58" t="str">
        <f t="array" ref="D66">15&amp;IF(COUNTIFS('Agenda 2026'!$Q$2:$Q$376,DATE(2026,7,15),'Agenda 2026'!$M$2:$M$376,1)&gt;=1,CHAR(10)&amp;IFERROR(INDEX('Agenda 2026'!$B$2:$B$376,MATCH(DATE(2026,7,15)*10+1,'Agenda 2026'!$S$2:$S$376,0)),""),"")&amp;IF(COUNTIFS('Agenda 2026'!$Q$2:$Q$376,DATE(2026,7,15),'Agenda 2026'!$M$2:$M$376,1)&gt;=2,CHAR(10)&amp;IFERROR(INDEX('Agenda 2026'!$B$2:$B$376,MATCH(DATE(2026,7,15)*10+2,'Agenda 2026'!$S$2:$S$376,0)),""),"")&amp;IF(COUNTIFS('Agenda 2026'!$Q$2:$Q$376,DATE(2026,7,15),'Agenda 2026'!$M$2:$M$376,1)&gt;=3,CHAR(10)&amp;IFERROR(INDEX('Agenda 2026'!$B$2:$B$376,MATCH(DATE(2026,7,15)*10+3,'Agenda 2026'!$S$2:$S$376,0)),""),"")&amp;IF(COUNTIFS('Agenda 2026'!$Q$2:$Q$376,DATE(2026,7,15),'Agenda 2026'!$M$2:$M$376,1)&gt;=4,CHAR(10)&amp;IFERROR(INDEX('Agenda 2026'!$B$2:$B$376,MATCH(DATE(2026,7,15)*10+4,'Agenda 2026'!$S$2:$S$376,0)),""),"")&amp;IF(COUNTIFS('Agenda 2026'!$Q$2:$Q$376,DATE(2026,7,15),'Agenda 2026'!$M$2:$M$376,1)&gt;=5,CHAR(10)&amp;IFERROR(INDEX('Agenda 2026'!$B$2:$B$376,MATCH(DATE(2026,7,15)*10+5,'Agenda 2026'!$S$2:$S$376,0)),""),"")&amp;IF(COUNTIFS('Agenda 2026'!$Q$2:$Q$376,DATE(2026,7,15),'Agenda 2026'!$M$2:$M$376,1)&gt;=6,CHAR(10)&amp;IFERROR(INDEX('Agenda 2026'!$B$2:$B$376,MATCH(DATE(2026,7,15)*10+6,'Agenda 2026'!$S$2:$S$376,0)),""),"")&amp;IF(COUNTIFS('Agenda 2026'!$Q$2:$Q$376,DATE(2026,7,15),'Agenda 2026'!$M$2:$M$376,1)&gt;=7,CHAR(10)&amp;IFERROR(INDEX('Agenda 2026'!$B$2:$B$376,MATCH(DATE(2026,7,15)*10+7,'Agenda 2026'!$S$2:$S$376,0)),""),"")&amp;IF(COUNTIFS('Agenda 2026'!$Q$2:$Q$376,DATE(2026,7,15),'Agenda 2026'!$M$2:$M$376,1)&gt;=8,CHAR(10)&amp;IFERROR(INDEX('Agenda 2026'!$B$2:$B$376,MATCH(DATE(2026,7,15)*10+8,'Agenda 2026'!$S$2:$S$376,0)),""),"")&amp;IF(COUNTIFS('Agenda 2026'!$Q$2:$Q$376,DATE(2026,7,15),'Agenda 2026'!$M$2:$M$376,1)&gt;=9,CHAR(10)&amp;IFERROR(INDEX('Agenda 2026'!$B$2:$B$376,MATCH(DATE(2026,7,15)*10+9,'Agenda 2026'!$S$2:$S$376,0)),""),"")&amp;IF(COUNTIFS('Agenda 2026'!$Q$2:$Q$376,DATE(2026,7,15),'Agenda 2026'!$M$2:$M$376,1)&gt;=10,CHAR(10)&amp;IFERROR(INDEX('Agenda 2026'!$B$2:$B$376,MATCH(DATE(2026,7,15)*10+10,'Agenda 2026'!$S$2:$S$376,0)),""),"")&amp;IF(COUNTIFS('Agenda 2026'!$Q$2:$Q$376,DATE(2026,7,15),'Agenda 2026'!$M$2:$M$376,1)&gt;=11,CHAR(10)&amp;IFERROR(INDEX('Agenda 2026'!$B$2:$B$376,MATCH(DATE(2026,7,15)*10+11,'Agenda 2026'!$S$2:$S$376,0)),""),"")&amp;IF(COUNTIFS('Agenda 2026'!$Q$2:$Q$376,DATE(2026,7,15),'Agenda 2026'!$M$2:$M$376,1)&gt;=12,CHAR(10)&amp;IFERROR(INDEX('Agenda 2026'!$B$2:$B$376,MATCH(DATE(2026,7,15)*10+12,'Agenda 2026'!$S$2:$S$376,0)),""),"")</f>
        <v>15</v>
      </c>
      <c r="E66" s="58" t="str">
        <f t="array" ref="E66">16&amp;IF(COUNTIFS('Agenda 2026'!$Q$2:$Q$376,DATE(2026,7,16),'Agenda 2026'!$M$2:$M$376,1)&gt;=1,CHAR(10)&amp;IFERROR(INDEX('Agenda 2026'!$B$2:$B$376,MATCH(DATE(2026,7,16)*10+1,'Agenda 2026'!$S$2:$S$376,0)),""),"")&amp;IF(COUNTIFS('Agenda 2026'!$Q$2:$Q$376,DATE(2026,7,16),'Agenda 2026'!$M$2:$M$376,1)&gt;=2,CHAR(10)&amp;IFERROR(INDEX('Agenda 2026'!$B$2:$B$376,MATCH(DATE(2026,7,16)*10+2,'Agenda 2026'!$S$2:$S$376,0)),""),"")&amp;IF(COUNTIFS('Agenda 2026'!$Q$2:$Q$376,DATE(2026,7,16),'Agenda 2026'!$M$2:$M$376,1)&gt;=3,CHAR(10)&amp;IFERROR(INDEX('Agenda 2026'!$B$2:$B$376,MATCH(DATE(2026,7,16)*10+3,'Agenda 2026'!$S$2:$S$376,0)),""),"")&amp;IF(COUNTIFS('Agenda 2026'!$Q$2:$Q$376,DATE(2026,7,16),'Agenda 2026'!$M$2:$M$376,1)&gt;=4,CHAR(10)&amp;IFERROR(INDEX('Agenda 2026'!$B$2:$B$376,MATCH(DATE(2026,7,16)*10+4,'Agenda 2026'!$S$2:$S$376,0)),""),"")&amp;IF(COUNTIFS('Agenda 2026'!$Q$2:$Q$376,DATE(2026,7,16),'Agenda 2026'!$M$2:$M$376,1)&gt;=5,CHAR(10)&amp;IFERROR(INDEX('Agenda 2026'!$B$2:$B$376,MATCH(DATE(2026,7,16)*10+5,'Agenda 2026'!$S$2:$S$376,0)),""),"")&amp;IF(COUNTIFS('Agenda 2026'!$Q$2:$Q$376,DATE(2026,7,16),'Agenda 2026'!$M$2:$M$376,1)&gt;=6,CHAR(10)&amp;IFERROR(INDEX('Agenda 2026'!$B$2:$B$376,MATCH(DATE(2026,7,16)*10+6,'Agenda 2026'!$S$2:$S$376,0)),""),"")&amp;IF(COUNTIFS('Agenda 2026'!$Q$2:$Q$376,DATE(2026,7,16),'Agenda 2026'!$M$2:$M$376,1)&gt;=7,CHAR(10)&amp;IFERROR(INDEX('Agenda 2026'!$B$2:$B$376,MATCH(DATE(2026,7,16)*10+7,'Agenda 2026'!$S$2:$S$376,0)),""),"")&amp;IF(COUNTIFS('Agenda 2026'!$Q$2:$Q$376,DATE(2026,7,16),'Agenda 2026'!$M$2:$M$376,1)&gt;=8,CHAR(10)&amp;IFERROR(INDEX('Agenda 2026'!$B$2:$B$376,MATCH(DATE(2026,7,16)*10+8,'Agenda 2026'!$S$2:$S$376,0)),""),"")&amp;IF(COUNTIFS('Agenda 2026'!$Q$2:$Q$376,DATE(2026,7,16),'Agenda 2026'!$M$2:$M$376,1)&gt;=9,CHAR(10)&amp;IFERROR(INDEX('Agenda 2026'!$B$2:$B$376,MATCH(DATE(2026,7,16)*10+9,'Agenda 2026'!$S$2:$S$376,0)),""),"")&amp;IF(COUNTIFS('Agenda 2026'!$Q$2:$Q$376,DATE(2026,7,16),'Agenda 2026'!$M$2:$M$376,1)&gt;=10,CHAR(10)&amp;IFERROR(INDEX('Agenda 2026'!$B$2:$B$376,MATCH(DATE(2026,7,16)*10+10,'Agenda 2026'!$S$2:$S$376,0)),""),"")&amp;IF(COUNTIFS('Agenda 2026'!$Q$2:$Q$376,DATE(2026,7,16),'Agenda 2026'!$M$2:$M$376,1)&gt;=11,CHAR(10)&amp;IFERROR(INDEX('Agenda 2026'!$B$2:$B$376,MATCH(DATE(2026,7,16)*10+11,'Agenda 2026'!$S$2:$S$376,0)),""),"")&amp;IF(COUNTIFS('Agenda 2026'!$Q$2:$Q$376,DATE(2026,7,16),'Agenda 2026'!$M$2:$M$376,1)&gt;=12,CHAR(10)&amp;IFERROR(INDEX('Agenda 2026'!$B$2:$B$376,MATCH(DATE(2026,7,16)*10+12,'Agenda 2026'!$S$2:$S$376,0)),""),"")</f>
        <v>16</v>
      </c>
      <c r="F66" s="58" t="str">
        <f t="array" ref="F66">17&amp;IF(COUNTIFS('Agenda 2026'!$Q$2:$Q$376,DATE(2026,7,17),'Agenda 2026'!$M$2:$M$376,1)&gt;=1,CHAR(10)&amp;IFERROR(INDEX('Agenda 2026'!$B$2:$B$376,MATCH(DATE(2026,7,17)*10+1,'Agenda 2026'!$S$2:$S$376,0)),""),"")&amp;IF(COUNTIFS('Agenda 2026'!$Q$2:$Q$376,DATE(2026,7,17),'Agenda 2026'!$M$2:$M$376,1)&gt;=2,CHAR(10)&amp;IFERROR(INDEX('Agenda 2026'!$B$2:$B$376,MATCH(DATE(2026,7,17)*10+2,'Agenda 2026'!$S$2:$S$376,0)),""),"")&amp;IF(COUNTIFS('Agenda 2026'!$Q$2:$Q$376,DATE(2026,7,17),'Agenda 2026'!$M$2:$M$376,1)&gt;=3,CHAR(10)&amp;IFERROR(INDEX('Agenda 2026'!$B$2:$B$376,MATCH(DATE(2026,7,17)*10+3,'Agenda 2026'!$S$2:$S$376,0)),""),"")&amp;IF(COUNTIFS('Agenda 2026'!$Q$2:$Q$376,DATE(2026,7,17),'Agenda 2026'!$M$2:$M$376,1)&gt;=4,CHAR(10)&amp;IFERROR(INDEX('Agenda 2026'!$B$2:$B$376,MATCH(DATE(2026,7,17)*10+4,'Agenda 2026'!$S$2:$S$376,0)),""),"")&amp;IF(COUNTIFS('Agenda 2026'!$Q$2:$Q$376,DATE(2026,7,17),'Agenda 2026'!$M$2:$M$376,1)&gt;=5,CHAR(10)&amp;IFERROR(INDEX('Agenda 2026'!$B$2:$B$376,MATCH(DATE(2026,7,17)*10+5,'Agenda 2026'!$S$2:$S$376,0)),""),"")&amp;IF(COUNTIFS('Agenda 2026'!$Q$2:$Q$376,DATE(2026,7,17),'Agenda 2026'!$M$2:$M$376,1)&gt;=6,CHAR(10)&amp;IFERROR(INDEX('Agenda 2026'!$B$2:$B$376,MATCH(DATE(2026,7,17)*10+6,'Agenda 2026'!$S$2:$S$376,0)),""),"")&amp;IF(COUNTIFS('Agenda 2026'!$Q$2:$Q$376,DATE(2026,7,17),'Agenda 2026'!$M$2:$M$376,1)&gt;=7,CHAR(10)&amp;IFERROR(INDEX('Agenda 2026'!$B$2:$B$376,MATCH(DATE(2026,7,17)*10+7,'Agenda 2026'!$S$2:$S$376,0)),""),"")&amp;IF(COUNTIFS('Agenda 2026'!$Q$2:$Q$376,DATE(2026,7,17),'Agenda 2026'!$M$2:$M$376,1)&gt;=8,CHAR(10)&amp;IFERROR(INDEX('Agenda 2026'!$B$2:$B$376,MATCH(DATE(2026,7,17)*10+8,'Agenda 2026'!$S$2:$S$376,0)),""),"")&amp;IF(COUNTIFS('Agenda 2026'!$Q$2:$Q$376,DATE(2026,7,17),'Agenda 2026'!$M$2:$M$376,1)&gt;=9,CHAR(10)&amp;IFERROR(INDEX('Agenda 2026'!$B$2:$B$376,MATCH(DATE(2026,7,17)*10+9,'Agenda 2026'!$S$2:$S$376,0)),""),"")&amp;IF(COUNTIFS('Agenda 2026'!$Q$2:$Q$376,DATE(2026,7,17),'Agenda 2026'!$M$2:$M$376,1)&gt;=10,CHAR(10)&amp;IFERROR(INDEX('Agenda 2026'!$B$2:$B$376,MATCH(DATE(2026,7,17)*10+10,'Agenda 2026'!$S$2:$S$376,0)),""),"")&amp;IF(COUNTIFS('Agenda 2026'!$Q$2:$Q$376,DATE(2026,7,17),'Agenda 2026'!$M$2:$M$376,1)&gt;=11,CHAR(10)&amp;IFERROR(INDEX('Agenda 2026'!$B$2:$B$376,MATCH(DATE(2026,7,17)*10+11,'Agenda 2026'!$S$2:$S$376,0)),""),"")&amp;IF(COUNTIFS('Agenda 2026'!$Q$2:$Q$376,DATE(2026,7,17),'Agenda 2026'!$M$2:$M$376,1)&gt;=12,CHAR(10)&amp;IFERROR(INDEX('Agenda 2026'!$B$2:$B$376,MATCH(DATE(2026,7,17)*10+12,'Agenda 2026'!$S$2:$S$376,0)),""),"")</f>
        <v>17</v>
      </c>
      <c r="G66" s="58" t="str">
        <f t="array" ref="G66">18&amp;IF(COUNTIFS('Agenda 2026'!$Q$2:$Q$376,DATE(2026,7,18),'Agenda 2026'!$M$2:$M$376,1)&gt;=1,CHAR(10)&amp;IFERROR(INDEX('Agenda 2026'!$B$2:$B$376,MATCH(DATE(2026,7,18)*10+1,'Agenda 2026'!$S$2:$S$376,0)),""),"")&amp;IF(COUNTIFS('Agenda 2026'!$Q$2:$Q$376,DATE(2026,7,18),'Agenda 2026'!$M$2:$M$376,1)&gt;=2,CHAR(10)&amp;IFERROR(INDEX('Agenda 2026'!$B$2:$B$376,MATCH(DATE(2026,7,18)*10+2,'Agenda 2026'!$S$2:$S$376,0)),""),"")&amp;IF(COUNTIFS('Agenda 2026'!$Q$2:$Q$376,DATE(2026,7,18),'Agenda 2026'!$M$2:$M$376,1)&gt;=3,CHAR(10)&amp;IFERROR(INDEX('Agenda 2026'!$B$2:$B$376,MATCH(DATE(2026,7,18)*10+3,'Agenda 2026'!$S$2:$S$376,0)),""),"")&amp;IF(COUNTIFS('Agenda 2026'!$Q$2:$Q$376,DATE(2026,7,18),'Agenda 2026'!$M$2:$M$376,1)&gt;=4,CHAR(10)&amp;IFERROR(INDEX('Agenda 2026'!$B$2:$B$376,MATCH(DATE(2026,7,18)*10+4,'Agenda 2026'!$S$2:$S$376,0)),""),"")&amp;IF(COUNTIFS('Agenda 2026'!$Q$2:$Q$376,DATE(2026,7,18),'Agenda 2026'!$M$2:$M$376,1)&gt;=5,CHAR(10)&amp;IFERROR(INDEX('Agenda 2026'!$B$2:$B$376,MATCH(DATE(2026,7,18)*10+5,'Agenda 2026'!$S$2:$S$376,0)),""),"")&amp;IF(COUNTIFS('Agenda 2026'!$Q$2:$Q$376,DATE(2026,7,18),'Agenda 2026'!$M$2:$M$376,1)&gt;=6,CHAR(10)&amp;IFERROR(INDEX('Agenda 2026'!$B$2:$B$376,MATCH(DATE(2026,7,18)*10+6,'Agenda 2026'!$S$2:$S$376,0)),""),"")&amp;IF(COUNTIFS('Agenda 2026'!$Q$2:$Q$376,DATE(2026,7,18),'Agenda 2026'!$M$2:$M$376,1)&gt;=7,CHAR(10)&amp;IFERROR(INDEX('Agenda 2026'!$B$2:$B$376,MATCH(DATE(2026,7,18)*10+7,'Agenda 2026'!$S$2:$S$376,0)),""),"")&amp;IF(COUNTIFS('Agenda 2026'!$Q$2:$Q$376,DATE(2026,7,18),'Agenda 2026'!$M$2:$M$376,1)&gt;=8,CHAR(10)&amp;IFERROR(INDEX('Agenda 2026'!$B$2:$B$376,MATCH(DATE(2026,7,18)*10+8,'Agenda 2026'!$S$2:$S$376,0)),""),"")&amp;IF(COUNTIFS('Agenda 2026'!$Q$2:$Q$376,DATE(2026,7,18),'Agenda 2026'!$M$2:$M$376,1)&gt;=9,CHAR(10)&amp;IFERROR(INDEX('Agenda 2026'!$B$2:$B$376,MATCH(DATE(2026,7,18)*10+9,'Agenda 2026'!$S$2:$S$376,0)),""),"")&amp;IF(COUNTIFS('Agenda 2026'!$Q$2:$Q$376,DATE(2026,7,18),'Agenda 2026'!$M$2:$M$376,1)&gt;=10,CHAR(10)&amp;IFERROR(INDEX('Agenda 2026'!$B$2:$B$376,MATCH(DATE(2026,7,18)*10+10,'Agenda 2026'!$S$2:$S$376,0)),""),"")&amp;IF(COUNTIFS('Agenda 2026'!$Q$2:$Q$376,DATE(2026,7,18),'Agenda 2026'!$M$2:$M$376,1)&gt;=11,CHAR(10)&amp;IFERROR(INDEX('Agenda 2026'!$B$2:$B$376,MATCH(DATE(2026,7,18)*10+11,'Agenda 2026'!$S$2:$S$376,0)),""),"")&amp;IF(COUNTIFS('Agenda 2026'!$Q$2:$Q$376,DATE(2026,7,18),'Agenda 2026'!$M$2:$M$376,1)&gt;=12,CHAR(10)&amp;IFERROR(INDEX('Agenda 2026'!$B$2:$B$376,MATCH(DATE(2026,7,18)*10+12,'Agenda 2026'!$S$2:$S$376,0)),""),"")</f>
        <v>18</v>
      </c>
      <c r="H66" s="58" t="str">
        <f t="array" ref="H66">19&amp;IF(COUNTIFS('Agenda 2026'!$Q$2:$Q$376,DATE(2026,7,19),'Agenda 2026'!$M$2:$M$376,1)&gt;=1,CHAR(10)&amp;IFERROR(INDEX('Agenda 2026'!$B$2:$B$376,MATCH(DATE(2026,7,19)*10+1,'Agenda 2026'!$S$2:$S$376,0)),""),"")&amp;IF(COUNTIFS('Agenda 2026'!$Q$2:$Q$376,DATE(2026,7,19),'Agenda 2026'!$M$2:$M$376,1)&gt;=2,CHAR(10)&amp;IFERROR(INDEX('Agenda 2026'!$B$2:$B$376,MATCH(DATE(2026,7,19)*10+2,'Agenda 2026'!$S$2:$S$376,0)),""),"")&amp;IF(COUNTIFS('Agenda 2026'!$Q$2:$Q$376,DATE(2026,7,19),'Agenda 2026'!$M$2:$M$376,1)&gt;=3,CHAR(10)&amp;IFERROR(INDEX('Agenda 2026'!$B$2:$B$376,MATCH(DATE(2026,7,19)*10+3,'Agenda 2026'!$S$2:$S$376,0)),""),"")&amp;IF(COUNTIFS('Agenda 2026'!$Q$2:$Q$376,DATE(2026,7,19),'Agenda 2026'!$M$2:$M$376,1)&gt;=4,CHAR(10)&amp;IFERROR(INDEX('Agenda 2026'!$B$2:$B$376,MATCH(DATE(2026,7,19)*10+4,'Agenda 2026'!$S$2:$S$376,0)),""),"")&amp;IF(COUNTIFS('Agenda 2026'!$Q$2:$Q$376,DATE(2026,7,19),'Agenda 2026'!$M$2:$M$376,1)&gt;=5,CHAR(10)&amp;IFERROR(INDEX('Agenda 2026'!$B$2:$B$376,MATCH(DATE(2026,7,19)*10+5,'Agenda 2026'!$S$2:$S$376,0)),""),"")&amp;IF(COUNTIFS('Agenda 2026'!$Q$2:$Q$376,DATE(2026,7,19),'Agenda 2026'!$M$2:$M$376,1)&gt;=6,CHAR(10)&amp;IFERROR(INDEX('Agenda 2026'!$B$2:$B$376,MATCH(DATE(2026,7,19)*10+6,'Agenda 2026'!$S$2:$S$376,0)),""),"")&amp;IF(COUNTIFS('Agenda 2026'!$Q$2:$Q$376,DATE(2026,7,19),'Agenda 2026'!$M$2:$M$376,1)&gt;=7,CHAR(10)&amp;IFERROR(INDEX('Agenda 2026'!$B$2:$B$376,MATCH(DATE(2026,7,19)*10+7,'Agenda 2026'!$S$2:$S$376,0)),""),"")&amp;IF(COUNTIFS('Agenda 2026'!$Q$2:$Q$376,DATE(2026,7,19),'Agenda 2026'!$M$2:$M$376,1)&gt;=8,CHAR(10)&amp;IFERROR(INDEX('Agenda 2026'!$B$2:$B$376,MATCH(DATE(2026,7,19)*10+8,'Agenda 2026'!$S$2:$S$376,0)),""),"")&amp;IF(COUNTIFS('Agenda 2026'!$Q$2:$Q$376,DATE(2026,7,19),'Agenda 2026'!$M$2:$M$376,1)&gt;=9,CHAR(10)&amp;IFERROR(INDEX('Agenda 2026'!$B$2:$B$376,MATCH(DATE(2026,7,19)*10+9,'Agenda 2026'!$S$2:$S$376,0)),""),"")&amp;IF(COUNTIFS('Agenda 2026'!$Q$2:$Q$376,DATE(2026,7,19),'Agenda 2026'!$M$2:$M$376,1)&gt;=10,CHAR(10)&amp;IFERROR(INDEX('Agenda 2026'!$B$2:$B$376,MATCH(DATE(2026,7,19)*10+10,'Agenda 2026'!$S$2:$S$376,0)),""),"")&amp;IF(COUNTIFS('Agenda 2026'!$Q$2:$Q$376,DATE(2026,7,19),'Agenda 2026'!$M$2:$M$376,1)&gt;=11,CHAR(10)&amp;IFERROR(INDEX('Agenda 2026'!$B$2:$B$376,MATCH(DATE(2026,7,19)*10+11,'Agenda 2026'!$S$2:$S$376,0)),""),"")&amp;IF(COUNTIFS('Agenda 2026'!$Q$2:$Q$376,DATE(2026,7,19),'Agenda 2026'!$M$2:$M$376,1)&gt;=12,CHAR(10)&amp;IFERROR(INDEX('Agenda 2026'!$B$2:$B$376,MATCH(DATE(2026,7,19)*10+12,'Agenda 2026'!$S$2:$S$376,0)),""),"")</f>
        <v>19</v>
      </c>
    </row>
    <row r="67" spans="1:8" ht="69.75" customHeight="1" x14ac:dyDescent="0.35">
      <c r="A67" s="17"/>
      <c r="B67" s="58" t="str">
        <f t="array" ref="B67">20&amp;IF(COUNTIFS('Agenda 2026'!$Q$2:$Q$376,DATE(2026,7,20),'Agenda 2026'!$M$2:$M$376,1)&gt;=1,CHAR(10)&amp;IFERROR(INDEX('Agenda 2026'!$B$2:$B$376,MATCH(DATE(2026,7,20)*10+1,'Agenda 2026'!$S$2:$S$376,0)),""),"")&amp;IF(COUNTIFS('Agenda 2026'!$Q$2:$Q$376,DATE(2026,7,20),'Agenda 2026'!$M$2:$M$376,1)&gt;=2,CHAR(10)&amp;IFERROR(INDEX('Agenda 2026'!$B$2:$B$376,MATCH(DATE(2026,7,20)*10+2,'Agenda 2026'!$S$2:$S$376,0)),""),"")&amp;IF(COUNTIFS('Agenda 2026'!$Q$2:$Q$376,DATE(2026,7,20),'Agenda 2026'!$M$2:$M$376,1)&gt;=3,CHAR(10)&amp;IFERROR(INDEX('Agenda 2026'!$B$2:$B$376,MATCH(DATE(2026,7,20)*10+3,'Agenda 2026'!$S$2:$S$376,0)),""),"")&amp;IF(COUNTIFS('Agenda 2026'!$Q$2:$Q$376,DATE(2026,7,20),'Agenda 2026'!$M$2:$M$376,1)&gt;=4,CHAR(10)&amp;IFERROR(INDEX('Agenda 2026'!$B$2:$B$376,MATCH(DATE(2026,7,20)*10+4,'Agenda 2026'!$S$2:$S$376,0)),""),"")&amp;IF(COUNTIFS('Agenda 2026'!$Q$2:$Q$376,DATE(2026,7,20),'Agenda 2026'!$M$2:$M$376,1)&gt;=5,CHAR(10)&amp;IFERROR(INDEX('Agenda 2026'!$B$2:$B$376,MATCH(DATE(2026,7,20)*10+5,'Agenda 2026'!$S$2:$S$376,0)),""),"")&amp;IF(COUNTIFS('Agenda 2026'!$Q$2:$Q$376,DATE(2026,7,20),'Agenda 2026'!$M$2:$M$376,1)&gt;=6,CHAR(10)&amp;IFERROR(INDEX('Agenda 2026'!$B$2:$B$376,MATCH(DATE(2026,7,20)*10+6,'Agenda 2026'!$S$2:$S$376,0)),""),"")&amp;IF(COUNTIFS('Agenda 2026'!$Q$2:$Q$376,DATE(2026,7,20),'Agenda 2026'!$M$2:$M$376,1)&gt;=7,CHAR(10)&amp;IFERROR(INDEX('Agenda 2026'!$B$2:$B$376,MATCH(DATE(2026,7,20)*10+7,'Agenda 2026'!$S$2:$S$376,0)),""),"")&amp;IF(COUNTIFS('Agenda 2026'!$Q$2:$Q$376,DATE(2026,7,20),'Agenda 2026'!$M$2:$M$376,1)&gt;=8,CHAR(10)&amp;IFERROR(INDEX('Agenda 2026'!$B$2:$B$376,MATCH(DATE(2026,7,20)*10+8,'Agenda 2026'!$S$2:$S$376,0)),""),"")&amp;IF(COUNTIFS('Agenda 2026'!$Q$2:$Q$376,DATE(2026,7,20),'Agenda 2026'!$M$2:$M$376,1)&gt;=9,CHAR(10)&amp;IFERROR(INDEX('Agenda 2026'!$B$2:$B$376,MATCH(DATE(2026,7,20)*10+9,'Agenda 2026'!$S$2:$S$376,0)),""),"")&amp;IF(COUNTIFS('Agenda 2026'!$Q$2:$Q$376,DATE(2026,7,20),'Agenda 2026'!$M$2:$M$376,1)&gt;=10,CHAR(10)&amp;IFERROR(INDEX('Agenda 2026'!$B$2:$B$376,MATCH(DATE(2026,7,20)*10+10,'Agenda 2026'!$S$2:$S$376,0)),""),"")&amp;IF(COUNTIFS('Agenda 2026'!$Q$2:$Q$376,DATE(2026,7,20),'Agenda 2026'!$M$2:$M$376,1)&gt;=11,CHAR(10)&amp;IFERROR(INDEX('Agenda 2026'!$B$2:$B$376,MATCH(DATE(2026,7,20)*10+11,'Agenda 2026'!$S$2:$S$376,0)),""),"")&amp;IF(COUNTIFS('Agenda 2026'!$Q$2:$Q$376,DATE(2026,7,20),'Agenda 2026'!$M$2:$M$376,1)&gt;=12,CHAR(10)&amp;IFERROR(INDEX('Agenda 2026'!$B$2:$B$376,MATCH(DATE(2026,7,20)*10+12,'Agenda 2026'!$S$2:$S$376,0)),""),"")</f>
        <v>20</v>
      </c>
      <c r="C67" s="58" t="str">
        <f t="array" ref="C67">21&amp;IF(COUNTIFS('Agenda 2026'!$Q$2:$Q$376,DATE(2026,7,21),'Agenda 2026'!$M$2:$M$376,1)&gt;=1,CHAR(10)&amp;IFERROR(INDEX('Agenda 2026'!$B$2:$B$376,MATCH(DATE(2026,7,21)*10+1,'Agenda 2026'!$S$2:$S$376,0)),""),"")&amp;IF(COUNTIFS('Agenda 2026'!$Q$2:$Q$376,DATE(2026,7,21),'Agenda 2026'!$M$2:$M$376,1)&gt;=2,CHAR(10)&amp;IFERROR(INDEX('Agenda 2026'!$B$2:$B$376,MATCH(DATE(2026,7,21)*10+2,'Agenda 2026'!$S$2:$S$376,0)),""),"")&amp;IF(COUNTIFS('Agenda 2026'!$Q$2:$Q$376,DATE(2026,7,21),'Agenda 2026'!$M$2:$M$376,1)&gt;=3,CHAR(10)&amp;IFERROR(INDEX('Agenda 2026'!$B$2:$B$376,MATCH(DATE(2026,7,21)*10+3,'Agenda 2026'!$S$2:$S$376,0)),""),"")&amp;IF(COUNTIFS('Agenda 2026'!$Q$2:$Q$376,DATE(2026,7,21),'Agenda 2026'!$M$2:$M$376,1)&gt;=4,CHAR(10)&amp;IFERROR(INDEX('Agenda 2026'!$B$2:$B$376,MATCH(DATE(2026,7,21)*10+4,'Agenda 2026'!$S$2:$S$376,0)),""),"")&amp;IF(COUNTIFS('Agenda 2026'!$Q$2:$Q$376,DATE(2026,7,21),'Agenda 2026'!$M$2:$M$376,1)&gt;=5,CHAR(10)&amp;IFERROR(INDEX('Agenda 2026'!$B$2:$B$376,MATCH(DATE(2026,7,21)*10+5,'Agenda 2026'!$S$2:$S$376,0)),""),"")&amp;IF(COUNTIFS('Agenda 2026'!$Q$2:$Q$376,DATE(2026,7,21),'Agenda 2026'!$M$2:$M$376,1)&gt;=6,CHAR(10)&amp;IFERROR(INDEX('Agenda 2026'!$B$2:$B$376,MATCH(DATE(2026,7,21)*10+6,'Agenda 2026'!$S$2:$S$376,0)),""),"")&amp;IF(COUNTIFS('Agenda 2026'!$Q$2:$Q$376,DATE(2026,7,21),'Agenda 2026'!$M$2:$M$376,1)&gt;=7,CHAR(10)&amp;IFERROR(INDEX('Agenda 2026'!$B$2:$B$376,MATCH(DATE(2026,7,21)*10+7,'Agenda 2026'!$S$2:$S$376,0)),""),"")&amp;IF(COUNTIFS('Agenda 2026'!$Q$2:$Q$376,DATE(2026,7,21),'Agenda 2026'!$M$2:$M$376,1)&gt;=8,CHAR(10)&amp;IFERROR(INDEX('Agenda 2026'!$B$2:$B$376,MATCH(DATE(2026,7,21)*10+8,'Agenda 2026'!$S$2:$S$376,0)),""),"")&amp;IF(COUNTIFS('Agenda 2026'!$Q$2:$Q$376,DATE(2026,7,21),'Agenda 2026'!$M$2:$M$376,1)&gt;=9,CHAR(10)&amp;IFERROR(INDEX('Agenda 2026'!$B$2:$B$376,MATCH(DATE(2026,7,21)*10+9,'Agenda 2026'!$S$2:$S$376,0)),""),"")&amp;IF(COUNTIFS('Agenda 2026'!$Q$2:$Q$376,DATE(2026,7,21),'Agenda 2026'!$M$2:$M$376,1)&gt;=10,CHAR(10)&amp;IFERROR(INDEX('Agenda 2026'!$B$2:$B$376,MATCH(DATE(2026,7,21)*10+10,'Agenda 2026'!$S$2:$S$376,0)),""),"")&amp;IF(COUNTIFS('Agenda 2026'!$Q$2:$Q$376,DATE(2026,7,21),'Agenda 2026'!$M$2:$M$376,1)&gt;=11,CHAR(10)&amp;IFERROR(INDEX('Agenda 2026'!$B$2:$B$376,MATCH(DATE(2026,7,21)*10+11,'Agenda 2026'!$S$2:$S$376,0)),""),"")&amp;IF(COUNTIFS('Agenda 2026'!$Q$2:$Q$376,DATE(2026,7,21),'Agenda 2026'!$M$2:$M$376,1)&gt;=12,CHAR(10)&amp;IFERROR(INDEX('Agenda 2026'!$B$2:$B$376,MATCH(DATE(2026,7,21)*10+12,'Agenda 2026'!$S$2:$S$376,0)),""),"")</f>
        <v>21</v>
      </c>
      <c r="D67" s="58" t="str">
        <f t="array" ref="D67">22&amp;IF(COUNTIFS('Agenda 2026'!$Q$2:$Q$376,DATE(2026,7,22),'Agenda 2026'!$M$2:$M$376,1)&gt;=1,CHAR(10)&amp;IFERROR(INDEX('Agenda 2026'!$B$2:$B$376,MATCH(DATE(2026,7,22)*10+1,'Agenda 2026'!$S$2:$S$376,0)),""),"")&amp;IF(COUNTIFS('Agenda 2026'!$Q$2:$Q$376,DATE(2026,7,22),'Agenda 2026'!$M$2:$M$376,1)&gt;=2,CHAR(10)&amp;IFERROR(INDEX('Agenda 2026'!$B$2:$B$376,MATCH(DATE(2026,7,22)*10+2,'Agenda 2026'!$S$2:$S$376,0)),""),"")&amp;IF(COUNTIFS('Agenda 2026'!$Q$2:$Q$376,DATE(2026,7,22),'Agenda 2026'!$M$2:$M$376,1)&gt;=3,CHAR(10)&amp;IFERROR(INDEX('Agenda 2026'!$B$2:$B$376,MATCH(DATE(2026,7,22)*10+3,'Agenda 2026'!$S$2:$S$376,0)),""),"")&amp;IF(COUNTIFS('Agenda 2026'!$Q$2:$Q$376,DATE(2026,7,22),'Agenda 2026'!$M$2:$M$376,1)&gt;=4,CHAR(10)&amp;IFERROR(INDEX('Agenda 2026'!$B$2:$B$376,MATCH(DATE(2026,7,22)*10+4,'Agenda 2026'!$S$2:$S$376,0)),""),"")&amp;IF(COUNTIFS('Agenda 2026'!$Q$2:$Q$376,DATE(2026,7,22),'Agenda 2026'!$M$2:$M$376,1)&gt;=5,CHAR(10)&amp;IFERROR(INDEX('Agenda 2026'!$B$2:$B$376,MATCH(DATE(2026,7,22)*10+5,'Agenda 2026'!$S$2:$S$376,0)),""),"")&amp;IF(COUNTIFS('Agenda 2026'!$Q$2:$Q$376,DATE(2026,7,22),'Agenda 2026'!$M$2:$M$376,1)&gt;=6,CHAR(10)&amp;IFERROR(INDEX('Agenda 2026'!$B$2:$B$376,MATCH(DATE(2026,7,22)*10+6,'Agenda 2026'!$S$2:$S$376,0)),""),"")&amp;IF(COUNTIFS('Agenda 2026'!$Q$2:$Q$376,DATE(2026,7,22),'Agenda 2026'!$M$2:$M$376,1)&gt;=7,CHAR(10)&amp;IFERROR(INDEX('Agenda 2026'!$B$2:$B$376,MATCH(DATE(2026,7,22)*10+7,'Agenda 2026'!$S$2:$S$376,0)),""),"")&amp;IF(COUNTIFS('Agenda 2026'!$Q$2:$Q$376,DATE(2026,7,22),'Agenda 2026'!$M$2:$M$376,1)&gt;=8,CHAR(10)&amp;IFERROR(INDEX('Agenda 2026'!$B$2:$B$376,MATCH(DATE(2026,7,22)*10+8,'Agenda 2026'!$S$2:$S$376,0)),""),"")&amp;IF(COUNTIFS('Agenda 2026'!$Q$2:$Q$376,DATE(2026,7,22),'Agenda 2026'!$M$2:$M$376,1)&gt;=9,CHAR(10)&amp;IFERROR(INDEX('Agenda 2026'!$B$2:$B$376,MATCH(DATE(2026,7,22)*10+9,'Agenda 2026'!$S$2:$S$376,0)),""),"")&amp;IF(COUNTIFS('Agenda 2026'!$Q$2:$Q$376,DATE(2026,7,22),'Agenda 2026'!$M$2:$M$376,1)&gt;=10,CHAR(10)&amp;IFERROR(INDEX('Agenda 2026'!$B$2:$B$376,MATCH(DATE(2026,7,22)*10+10,'Agenda 2026'!$S$2:$S$376,0)),""),"")&amp;IF(COUNTIFS('Agenda 2026'!$Q$2:$Q$376,DATE(2026,7,22),'Agenda 2026'!$M$2:$M$376,1)&gt;=11,CHAR(10)&amp;IFERROR(INDEX('Agenda 2026'!$B$2:$B$376,MATCH(DATE(2026,7,22)*10+11,'Agenda 2026'!$S$2:$S$376,0)),""),"")&amp;IF(COUNTIFS('Agenda 2026'!$Q$2:$Q$376,DATE(2026,7,22),'Agenda 2026'!$M$2:$M$376,1)&gt;=12,CHAR(10)&amp;IFERROR(INDEX('Agenda 2026'!$B$2:$B$376,MATCH(DATE(2026,7,22)*10+12,'Agenda 2026'!$S$2:$S$376,0)),""),"")</f>
        <v>22</v>
      </c>
      <c r="E67" s="58" t="str">
        <f t="array" ref="E67">23&amp;IF(COUNTIFS('Agenda 2026'!$Q$2:$Q$376,DATE(2026,7,23),'Agenda 2026'!$M$2:$M$376,1)&gt;=1,CHAR(10)&amp;IFERROR(INDEX('Agenda 2026'!$B$2:$B$376,MATCH(DATE(2026,7,23)*10+1,'Agenda 2026'!$S$2:$S$376,0)),""),"")&amp;IF(COUNTIFS('Agenda 2026'!$Q$2:$Q$376,DATE(2026,7,23),'Agenda 2026'!$M$2:$M$376,1)&gt;=2,CHAR(10)&amp;IFERROR(INDEX('Agenda 2026'!$B$2:$B$376,MATCH(DATE(2026,7,23)*10+2,'Agenda 2026'!$S$2:$S$376,0)),""),"")&amp;IF(COUNTIFS('Agenda 2026'!$Q$2:$Q$376,DATE(2026,7,23),'Agenda 2026'!$M$2:$M$376,1)&gt;=3,CHAR(10)&amp;IFERROR(INDEX('Agenda 2026'!$B$2:$B$376,MATCH(DATE(2026,7,23)*10+3,'Agenda 2026'!$S$2:$S$376,0)),""),"")&amp;IF(COUNTIFS('Agenda 2026'!$Q$2:$Q$376,DATE(2026,7,23),'Agenda 2026'!$M$2:$M$376,1)&gt;=4,CHAR(10)&amp;IFERROR(INDEX('Agenda 2026'!$B$2:$B$376,MATCH(DATE(2026,7,23)*10+4,'Agenda 2026'!$S$2:$S$376,0)),""),"")&amp;IF(COUNTIFS('Agenda 2026'!$Q$2:$Q$376,DATE(2026,7,23),'Agenda 2026'!$M$2:$M$376,1)&gt;=5,CHAR(10)&amp;IFERROR(INDEX('Agenda 2026'!$B$2:$B$376,MATCH(DATE(2026,7,23)*10+5,'Agenda 2026'!$S$2:$S$376,0)),""),"")&amp;IF(COUNTIFS('Agenda 2026'!$Q$2:$Q$376,DATE(2026,7,23),'Agenda 2026'!$M$2:$M$376,1)&gt;=6,CHAR(10)&amp;IFERROR(INDEX('Agenda 2026'!$B$2:$B$376,MATCH(DATE(2026,7,23)*10+6,'Agenda 2026'!$S$2:$S$376,0)),""),"")&amp;IF(COUNTIFS('Agenda 2026'!$Q$2:$Q$376,DATE(2026,7,23),'Agenda 2026'!$M$2:$M$376,1)&gt;=7,CHAR(10)&amp;IFERROR(INDEX('Agenda 2026'!$B$2:$B$376,MATCH(DATE(2026,7,23)*10+7,'Agenda 2026'!$S$2:$S$376,0)),""),"")&amp;IF(COUNTIFS('Agenda 2026'!$Q$2:$Q$376,DATE(2026,7,23),'Agenda 2026'!$M$2:$M$376,1)&gt;=8,CHAR(10)&amp;IFERROR(INDEX('Agenda 2026'!$B$2:$B$376,MATCH(DATE(2026,7,23)*10+8,'Agenda 2026'!$S$2:$S$376,0)),""),"")&amp;IF(COUNTIFS('Agenda 2026'!$Q$2:$Q$376,DATE(2026,7,23),'Agenda 2026'!$M$2:$M$376,1)&gt;=9,CHAR(10)&amp;IFERROR(INDEX('Agenda 2026'!$B$2:$B$376,MATCH(DATE(2026,7,23)*10+9,'Agenda 2026'!$S$2:$S$376,0)),""),"")&amp;IF(COUNTIFS('Agenda 2026'!$Q$2:$Q$376,DATE(2026,7,23),'Agenda 2026'!$M$2:$M$376,1)&gt;=10,CHAR(10)&amp;IFERROR(INDEX('Agenda 2026'!$B$2:$B$376,MATCH(DATE(2026,7,23)*10+10,'Agenda 2026'!$S$2:$S$376,0)),""),"")&amp;IF(COUNTIFS('Agenda 2026'!$Q$2:$Q$376,DATE(2026,7,23),'Agenda 2026'!$M$2:$M$376,1)&gt;=11,CHAR(10)&amp;IFERROR(INDEX('Agenda 2026'!$B$2:$B$376,MATCH(DATE(2026,7,23)*10+11,'Agenda 2026'!$S$2:$S$376,0)),""),"")&amp;IF(COUNTIFS('Agenda 2026'!$Q$2:$Q$376,DATE(2026,7,23),'Agenda 2026'!$M$2:$M$376,1)&gt;=12,CHAR(10)&amp;IFERROR(INDEX('Agenda 2026'!$B$2:$B$376,MATCH(DATE(2026,7,23)*10+12,'Agenda 2026'!$S$2:$S$376,0)),""),"")</f>
        <v>23</v>
      </c>
      <c r="F67" s="58" t="str">
        <f t="array" ref="F67">24&amp;IF(COUNTIFS('Agenda 2026'!$Q$2:$Q$376,DATE(2026,7,24),'Agenda 2026'!$M$2:$M$376,1)&gt;=1,CHAR(10)&amp;IFERROR(INDEX('Agenda 2026'!$B$2:$B$376,MATCH(DATE(2026,7,24)*10+1,'Agenda 2026'!$S$2:$S$376,0)),""),"")&amp;IF(COUNTIFS('Agenda 2026'!$Q$2:$Q$376,DATE(2026,7,24),'Agenda 2026'!$M$2:$M$376,1)&gt;=2,CHAR(10)&amp;IFERROR(INDEX('Agenda 2026'!$B$2:$B$376,MATCH(DATE(2026,7,24)*10+2,'Agenda 2026'!$S$2:$S$376,0)),""),"")&amp;IF(COUNTIFS('Agenda 2026'!$Q$2:$Q$376,DATE(2026,7,24),'Agenda 2026'!$M$2:$M$376,1)&gt;=3,CHAR(10)&amp;IFERROR(INDEX('Agenda 2026'!$B$2:$B$376,MATCH(DATE(2026,7,24)*10+3,'Agenda 2026'!$S$2:$S$376,0)),""),"")&amp;IF(COUNTIFS('Agenda 2026'!$Q$2:$Q$376,DATE(2026,7,24),'Agenda 2026'!$M$2:$M$376,1)&gt;=4,CHAR(10)&amp;IFERROR(INDEX('Agenda 2026'!$B$2:$B$376,MATCH(DATE(2026,7,24)*10+4,'Agenda 2026'!$S$2:$S$376,0)),""),"")&amp;IF(COUNTIFS('Agenda 2026'!$Q$2:$Q$376,DATE(2026,7,24),'Agenda 2026'!$M$2:$M$376,1)&gt;=5,CHAR(10)&amp;IFERROR(INDEX('Agenda 2026'!$B$2:$B$376,MATCH(DATE(2026,7,24)*10+5,'Agenda 2026'!$S$2:$S$376,0)),""),"")&amp;IF(COUNTIFS('Agenda 2026'!$Q$2:$Q$376,DATE(2026,7,24),'Agenda 2026'!$M$2:$M$376,1)&gt;=6,CHAR(10)&amp;IFERROR(INDEX('Agenda 2026'!$B$2:$B$376,MATCH(DATE(2026,7,24)*10+6,'Agenda 2026'!$S$2:$S$376,0)),""),"")&amp;IF(COUNTIFS('Agenda 2026'!$Q$2:$Q$376,DATE(2026,7,24),'Agenda 2026'!$M$2:$M$376,1)&gt;=7,CHAR(10)&amp;IFERROR(INDEX('Agenda 2026'!$B$2:$B$376,MATCH(DATE(2026,7,24)*10+7,'Agenda 2026'!$S$2:$S$376,0)),""),"")&amp;IF(COUNTIFS('Agenda 2026'!$Q$2:$Q$376,DATE(2026,7,24),'Agenda 2026'!$M$2:$M$376,1)&gt;=8,CHAR(10)&amp;IFERROR(INDEX('Agenda 2026'!$B$2:$B$376,MATCH(DATE(2026,7,24)*10+8,'Agenda 2026'!$S$2:$S$376,0)),""),"")&amp;IF(COUNTIFS('Agenda 2026'!$Q$2:$Q$376,DATE(2026,7,24),'Agenda 2026'!$M$2:$M$376,1)&gt;=9,CHAR(10)&amp;IFERROR(INDEX('Agenda 2026'!$B$2:$B$376,MATCH(DATE(2026,7,24)*10+9,'Agenda 2026'!$S$2:$S$376,0)),""),"")&amp;IF(COUNTIFS('Agenda 2026'!$Q$2:$Q$376,DATE(2026,7,24),'Agenda 2026'!$M$2:$M$376,1)&gt;=10,CHAR(10)&amp;IFERROR(INDEX('Agenda 2026'!$B$2:$B$376,MATCH(DATE(2026,7,24)*10+10,'Agenda 2026'!$S$2:$S$376,0)),""),"")&amp;IF(COUNTIFS('Agenda 2026'!$Q$2:$Q$376,DATE(2026,7,24),'Agenda 2026'!$M$2:$M$376,1)&gt;=11,CHAR(10)&amp;IFERROR(INDEX('Agenda 2026'!$B$2:$B$376,MATCH(DATE(2026,7,24)*10+11,'Agenda 2026'!$S$2:$S$376,0)),""),"")&amp;IF(COUNTIFS('Agenda 2026'!$Q$2:$Q$376,DATE(2026,7,24),'Agenda 2026'!$M$2:$M$376,1)&gt;=12,CHAR(10)&amp;IFERROR(INDEX('Agenda 2026'!$B$2:$B$376,MATCH(DATE(2026,7,24)*10+12,'Agenda 2026'!$S$2:$S$376,0)),""),"")</f>
        <v>24</v>
      </c>
      <c r="G67" s="58" t="str">
        <f t="array" ref="G67">25&amp;IF(COUNTIFS('Agenda 2026'!$Q$2:$Q$376,DATE(2026,7,25),'Agenda 2026'!$M$2:$M$376,1)&gt;=1,CHAR(10)&amp;IFERROR(INDEX('Agenda 2026'!$B$2:$B$376,MATCH(DATE(2026,7,25)*10+1,'Agenda 2026'!$S$2:$S$376,0)),""),"")&amp;IF(COUNTIFS('Agenda 2026'!$Q$2:$Q$376,DATE(2026,7,25),'Agenda 2026'!$M$2:$M$376,1)&gt;=2,CHAR(10)&amp;IFERROR(INDEX('Agenda 2026'!$B$2:$B$376,MATCH(DATE(2026,7,25)*10+2,'Agenda 2026'!$S$2:$S$376,0)),""),"")&amp;IF(COUNTIFS('Agenda 2026'!$Q$2:$Q$376,DATE(2026,7,25),'Agenda 2026'!$M$2:$M$376,1)&gt;=3,CHAR(10)&amp;IFERROR(INDEX('Agenda 2026'!$B$2:$B$376,MATCH(DATE(2026,7,25)*10+3,'Agenda 2026'!$S$2:$S$376,0)),""),"")&amp;IF(COUNTIFS('Agenda 2026'!$Q$2:$Q$376,DATE(2026,7,25),'Agenda 2026'!$M$2:$M$376,1)&gt;=4,CHAR(10)&amp;IFERROR(INDEX('Agenda 2026'!$B$2:$B$376,MATCH(DATE(2026,7,25)*10+4,'Agenda 2026'!$S$2:$S$376,0)),""),"")&amp;IF(COUNTIFS('Agenda 2026'!$Q$2:$Q$376,DATE(2026,7,25),'Agenda 2026'!$M$2:$M$376,1)&gt;=5,CHAR(10)&amp;IFERROR(INDEX('Agenda 2026'!$B$2:$B$376,MATCH(DATE(2026,7,25)*10+5,'Agenda 2026'!$S$2:$S$376,0)),""),"")&amp;IF(COUNTIFS('Agenda 2026'!$Q$2:$Q$376,DATE(2026,7,25),'Agenda 2026'!$M$2:$M$376,1)&gt;=6,CHAR(10)&amp;IFERROR(INDEX('Agenda 2026'!$B$2:$B$376,MATCH(DATE(2026,7,25)*10+6,'Agenda 2026'!$S$2:$S$376,0)),""),"")&amp;IF(COUNTIFS('Agenda 2026'!$Q$2:$Q$376,DATE(2026,7,25),'Agenda 2026'!$M$2:$M$376,1)&gt;=7,CHAR(10)&amp;IFERROR(INDEX('Agenda 2026'!$B$2:$B$376,MATCH(DATE(2026,7,25)*10+7,'Agenda 2026'!$S$2:$S$376,0)),""),"")&amp;IF(COUNTIFS('Agenda 2026'!$Q$2:$Q$376,DATE(2026,7,25),'Agenda 2026'!$M$2:$M$376,1)&gt;=8,CHAR(10)&amp;IFERROR(INDEX('Agenda 2026'!$B$2:$B$376,MATCH(DATE(2026,7,25)*10+8,'Agenda 2026'!$S$2:$S$376,0)),""),"")&amp;IF(COUNTIFS('Agenda 2026'!$Q$2:$Q$376,DATE(2026,7,25),'Agenda 2026'!$M$2:$M$376,1)&gt;=9,CHAR(10)&amp;IFERROR(INDEX('Agenda 2026'!$B$2:$B$376,MATCH(DATE(2026,7,25)*10+9,'Agenda 2026'!$S$2:$S$376,0)),""),"")&amp;IF(COUNTIFS('Agenda 2026'!$Q$2:$Q$376,DATE(2026,7,25),'Agenda 2026'!$M$2:$M$376,1)&gt;=10,CHAR(10)&amp;IFERROR(INDEX('Agenda 2026'!$B$2:$B$376,MATCH(DATE(2026,7,25)*10+10,'Agenda 2026'!$S$2:$S$376,0)),""),"")&amp;IF(COUNTIFS('Agenda 2026'!$Q$2:$Q$376,DATE(2026,7,25),'Agenda 2026'!$M$2:$M$376,1)&gt;=11,CHAR(10)&amp;IFERROR(INDEX('Agenda 2026'!$B$2:$B$376,MATCH(DATE(2026,7,25)*10+11,'Agenda 2026'!$S$2:$S$376,0)),""),"")&amp;IF(COUNTIFS('Agenda 2026'!$Q$2:$Q$376,DATE(2026,7,25),'Agenda 2026'!$M$2:$M$376,1)&gt;=12,CHAR(10)&amp;IFERROR(INDEX('Agenda 2026'!$B$2:$B$376,MATCH(DATE(2026,7,25)*10+12,'Agenda 2026'!$S$2:$S$376,0)),""),"")</f>
        <v>25</v>
      </c>
      <c r="H67" s="58" t="str">
        <f t="array" ref="H67">26&amp;IF(COUNTIFS('Agenda 2026'!$Q$2:$Q$376,DATE(2026,7,26),'Agenda 2026'!$M$2:$M$376,1)&gt;=1,CHAR(10)&amp;IFERROR(INDEX('Agenda 2026'!$B$2:$B$376,MATCH(DATE(2026,7,26)*10+1,'Agenda 2026'!$S$2:$S$376,0)),""),"")&amp;IF(COUNTIFS('Agenda 2026'!$Q$2:$Q$376,DATE(2026,7,26),'Agenda 2026'!$M$2:$M$376,1)&gt;=2,CHAR(10)&amp;IFERROR(INDEX('Agenda 2026'!$B$2:$B$376,MATCH(DATE(2026,7,26)*10+2,'Agenda 2026'!$S$2:$S$376,0)),""),"")&amp;IF(COUNTIFS('Agenda 2026'!$Q$2:$Q$376,DATE(2026,7,26),'Agenda 2026'!$M$2:$M$376,1)&gt;=3,CHAR(10)&amp;IFERROR(INDEX('Agenda 2026'!$B$2:$B$376,MATCH(DATE(2026,7,26)*10+3,'Agenda 2026'!$S$2:$S$376,0)),""),"")&amp;IF(COUNTIFS('Agenda 2026'!$Q$2:$Q$376,DATE(2026,7,26),'Agenda 2026'!$M$2:$M$376,1)&gt;=4,CHAR(10)&amp;IFERROR(INDEX('Agenda 2026'!$B$2:$B$376,MATCH(DATE(2026,7,26)*10+4,'Agenda 2026'!$S$2:$S$376,0)),""),"")&amp;IF(COUNTIFS('Agenda 2026'!$Q$2:$Q$376,DATE(2026,7,26),'Agenda 2026'!$M$2:$M$376,1)&gt;=5,CHAR(10)&amp;IFERROR(INDEX('Agenda 2026'!$B$2:$B$376,MATCH(DATE(2026,7,26)*10+5,'Agenda 2026'!$S$2:$S$376,0)),""),"")&amp;IF(COUNTIFS('Agenda 2026'!$Q$2:$Q$376,DATE(2026,7,26),'Agenda 2026'!$M$2:$M$376,1)&gt;=6,CHAR(10)&amp;IFERROR(INDEX('Agenda 2026'!$B$2:$B$376,MATCH(DATE(2026,7,26)*10+6,'Agenda 2026'!$S$2:$S$376,0)),""),"")&amp;IF(COUNTIFS('Agenda 2026'!$Q$2:$Q$376,DATE(2026,7,26),'Agenda 2026'!$M$2:$M$376,1)&gt;=7,CHAR(10)&amp;IFERROR(INDEX('Agenda 2026'!$B$2:$B$376,MATCH(DATE(2026,7,26)*10+7,'Agenda 2026'!$S$2:$S$376,0)),""),"")&amp;IF(COUNTIFS('Agenda 2026'!$Q$2:$Q$376,DATE(2026,7,26),'Agenda 2026'!$M$2:$M$376,1)&gt;=8,CHAR(10)&amp;IFERROR(INDEX('Agenda 2026'!$B$2:$B$376,MATCH(DATE(2026,7,26)*10+8,'Agenda 2026'!$S$2:$S$376,0)),""),"")&amp;IF(COUNTIFS('Agenda 2026'!$Q$2:$Q$376,DATE(2026,7,26),'Agenda 2026'!$M$2:$M$376,1)&gt;=9,CHAR(10)&amp;IFERROR(INDEX('Agenda 2026'!$B$2:$B$376,MATCH(DATE(2026,7,26)*10+9,'Agenda 2026'!$S$2:$S$376,0)),""),"")&amp;IF(COUNTIFS('Agenda 2026'!$Q$2:$Q$376,DATE(2026,7,26),'Agenda 2026'!$M$2:$M$376,1)&gt;=10,CHAR(10)&amp;IFERROR(INDEX('Agenda 2026'!$B$2:$B$376,MATCH(DATE(2026,7,26)*10+10,'Agenda 2026'!$S$2:$S$376,0)),""),"")&amp;IF(COUNTIFS('Agenda 2026'!$Q$2:$Q$376,DATE(2026,7,26),'Agenda 2026'!$M$2:$M$376,1)&gt;=11,CHAR(10)&amp;IFERROR(INDEX('Agenda 2026'!$B$2:$B$376,MATCH(DATE(2026,7,26)*10+11,'Agenda 2026'!$S$2:$S$376,0)),""),"")&amp;IF(COUNTIFS('Agenda 2026'!$Q$2:$Q$376,DATE(2026,7,26),'Agenda 2026'!$M$2:$M$376,1)&gt;=12,CHAR(10)&amp;IFERROR(INDEX('Agenda 2026'!$B$2:$B$376,MATCH(DATE(2026,7,26)*10+12,'Agenda 2026'!$S$2:$S$376,0)),""),"")</f>
        <v>26</v>
      </c>
    </row>
    <row r="68" spans="1:8" ht="45.75" customHeight="1" x14ac:dyDescent="0.35">
      <c r="A68" s="17"/>
      <c r="B68" s="58" t="str">
        <f t="array" ref="B68">27&amp;IF(COUNTIFS('Agenda 2026'!$Q$2:$Q$376,DATE(2026,7,27),'Agenda 2026'!$M$2:$M$376,1)&gt;=1,CHAR(10)&amp;IFERROR(INDEX('Agenda 2026'!$B$2:$B$376,MATCH(DATE(2026,7,27)*10+1,'Agenda 2026'!$S$2:$S$376,0)),""),"")&amp;IF(COUNTIFS('Agenda 2026'!$Q$2:$Q$376,DATE(2026,7,27),'Agenda 2026'!$M$2:$M$376,1)&gt;=2,CHAR(10)&amp;IFERROR(INDEX('Agenda 2026'!$B$2:$B$376,MATCH(DATE(2026,7,27)*10+2,'Agenda 2026'!$S$2:$S$376,0)),""),"")&amp;IF(COUNTIFS('Agenda 2026'!$Q$2:$Q$376,DATE(2026,7,27),'Agenda 2026'!$M$2:$M$376,1)&gt;=3,CHAR(10)&amp;IFERROR(INDEX('Agenda 2026'!$B$2:$B$376,MATCH(DATE(2026,7,27)*10+3,'Agenda 2026'!$S$2:$S$376,0)),""),"")&amp;IF(COUNTIFS('Agenda 2026'!$Q$2:$Q$376,DATE(2026,7,27),'Agenda 2026'!$M$2:$M$376,1)&gt;=4,CHAR(10)&amp;IFERROR(INDEX('Agenda 2026'!$B$2:$B$376,MATCH(DATE(2026,7,27)*10+4,'Agenda 2026'!$S$2:$S$376,0)),""),"")&amp;IF(COUNTIFS('Agenda 2026'!$Q$2:$Q$376,DATE(2026,7,27),'Agenda 2026'!$M$2:$M$376,1)&gt;=5,CHAR(10)&amp;IFERROR(INDEX('Agenda 2026'!$B$2:$B$376,MATCH(DATE(2026,7,27)*10+5,'Agenda 2026'!$S$2:$S$376,0)),""),"")&amp;IF(COUNTIFS('Agenda 2026'!$Q$2:$Q$376,DATE(2026,7,27),'Agenda 2026'!$M$2:$M$376,1)&gt;=6,CHAR(10)&amp;IFERROR(INDEX('Agenda 2026'!$B$2:$B$376,MATCH(DATE(2026,7,27)*10+6,'Agenda 2026'!$S$2:$S$376,0)),""),"")&amp;IF(COUNTIFS('Agenda 2026'!$Q$2:$Q$376,DATE(2026,7,27),'Agenda 2026'!$M$2:$M$376,1)&gt;=7,CHAR(10)&amp;IFERROR(INDEX('Agenda 2026'!$B$2:$B$376,MATCH(DATE(2026,7,27)*10+7,'Agenda 2026'!$S$2:$S$376,0)),""),"")&amp;IF(COUNTIFS('Agenda 2026'!$Q$2:$Q$376,DATE(2026,7,27),'Agenda 2026'!$M$2:$M$376,1)&gt;=8,CHAR(10)&amp;IFERROR(INDEX('Agenda 2026'!$B$2:$B$376,MATCH(DATE(2026,7,27)*10+8,'Agenda 2026'!$S$2:$S$376,0)),""),"")&amp;IF(COUNTIFS('Agenda 2026'!$Q$2:$Q$376,DATE(2026,7,27),'Agenda 2026'!$M$2:$M$376,1)&gt;=9,CHAR(10)&amp;IFERROR(INDEX('Agenda 2026'!$B$2:$B$376,MATCH(DATE(2026,7,27)*10+9,'Agenda 2026'!$S$2:$S$376,0)),""),"")&amp;IF(COUNTIFS('Agenda 2026'!$Q$2:$Q$376,DATE(2026,7,27),'Agenda 2026'!$M$2:$M$376,1)&gt;=10,CHAR(10)&amp;IFERROR(INDEX('Agenda 2026'!$B$2:$B$376,MATCH(DATE(2026,7,27)*10+10,'Agenda 2026'!$S$2:$S$376,0)),""),"")&amp;IF(COUNTIFS('Agenda 2026'!$Q$2:$Q$376,DATE(2026,7,27),'Agenda 2026'!$M$2:$M$376,1)&gt;=11,CHAR(10)&amp;IFERROR(INDEX('Agenda 2026'!$B$2:$B$376,MATCH(DATE(2026,7,27)*10+11,'Agenda 2026'!$S$2:$S$376,0)),""),"")&amp;IF(COUNTIFS('Agenda 2026'!$Q$2:$Q$376,DATE(2026,7,27),'Agenda 2026'!$M$2:$M$376,1)&gt;=12,CHAR(10)&amp;IFERROR(INDEX('Agenda 2026'!$B$2:$B$376,MATCH(DATE(2026,7,27)*10+12,'Agenda 2026'!$S$2:$S$376,0)),""),"")</f>
        <v>27</v>
      </c>
      <c r="C68" s="58" t="str">
        <f t="array" ref="C68">28&amp;IF(COUNTIFS('Agenda 2026'!$Q$2:$Q$376,DATE(2026,7,28),'Agenda 2026'!$M$2:$M$376,1)&gt;=1,CHAR(10)&amp;IFERROR(INDEX('Agenda 2026'!$B$2:$B$376,MATCH(DATE(2026,7,28)*10+1,'Agenda 2026'!$S$2:$S$376,0)),""),"")&amp;IF(COUNTIFS('Agenda 2026'!$Q$2:$Q$376,DATE(2026,7,28),'Agenda 2026'!$M$2:$M$376,1)&gt;=2,CHAR(10)&amp;IFERROR(INDEX('Agenda 2026'!$B$2:$B$376,MATCH(DATE(2026,7,28)*10+2,'Agenda 2026'!$S$2:$S$376,0)),""),"")&amp;IF(COUNTIFS('Agenda 2026'!$Q$2:$Q$376,DATE(2026,7,28),'Agenda 2026'!$M$2:$M$376,1)&gt;=3,CHAR(10)&amp;IFERROR(INDEX('Agenda 2026'!$B$2:$B$376,MATCH(DATE(2026,7,28)*10+3,'Agenda 2026'!$S$2:$S$376,0)),""),"")&amp;IF(COUNTIFS('Agenda 2026'!$Q$2:$Q$376,DATE(2026,7,28),'Agenda 2026'!$M$2:$M$376,1)&gt;=4,CHAR(10)&amp;IFERROR(INDEX('Agenda 2026'!$B$2:$B$376,MATCH(DATE(2026,7,28)*10+4,'Agenda 2026'!$S$2:$S$376,0)),""),"")&amp;IF(COUNTIFS('Agenda 2026'!$Q$2:$Q$376,DATE(2026,7,28),'Agenda 2026'!$M$2:$M$376,1)&gt;=5,CHAR(10)&amp;IFERROR(INDEX('Agenda 2026'!$B$2:$B$376,MATCH(DATE(2026,7,28)*10+5,'Agenda 2026'!$S$2:$S$376,0)),""),"")&amp;IF(COUNTIFS('Agenda 2026'!$Q$2:$Q$376,DATE(2026,7,28),'Agenda 2026'!$M$2:$M$376,1)&gt;=6,CHAR(10)&amp;IFERROR(INDEX('Agenda 2026'!$B$2:$B$376,MATCH(DATE(2026,7,28)*10+6,'Agenda 2026'!$S$2:$S$376,0)),""),"")&amp;IF(COUNTIFS('Agenda 2026'!$Q$2:$Q$376,DATE(2026,7,28),'Agenda 2026'!$M$2:$M$376,1)&gt;=7,CHAR(10)&amp;IFERROR(INDEX('Agenda 2026'!$B$2:$B$376,MATCH(DATE(2026,7,28)*10+7,'Agenda 2026'!$S$2:$S$376,0)),""),"")&amp;IF(COUNTIFS('Agenda 2026'!$Q$2:$Q$376,DATE(2026,7,28),'Agenda 2026'!$M$2:$M$376,1)&gt;=8,CHAR(10)&amp;IFERROR(INDEX('Agenda 2026'!$B$2:$B$376,MATCH(DATE(2026,7,28)*10+8,'Agenda 2026'!$S$2:$S$376,0)),""),"")&amp;IF(COUNTIFS('Agenda 2026'!$Q$2:$Q$376,DATE(2026,7,28),'Agenda 2026'!$M$2:$M$376,1)&gt;=9,CHAR(10)&amp;IFERROR(INDEX('Agenda 2026'!$B$2:$B$376,MATCH(DATE(2026,7,28)*10+9,'Agenda 2026'!$S$2:$S$376,0)),""),"")&amp;IF(COUNTIFS('Agenda 2026'!$Q$2:$Q$376,DATE(2026,7,28),'Agenda 2026'!$M$2:$M$376,1)&gt;=10,CHAR(10)&amp;IFERROR(INDEX('Agenda 2026'!$B$2:$B$376,MATCH(DATE(2026,7,28)*10+10,'Agenda 2026'!$S$2:$S$376,0)),""),"")&amp;IF(COUNTIFS('Agenda 2026'!$Q$2:$Q$376,DATE(2026,7,28),'Agenda 2026'!$M$2:$M$376,1)&gt;=11,CHAR(10)&amp;IFERROR(INDEX('Agenda 2026'!$B$2:$B$376,MATCH(DATE(2026,7,28)*10+11,'Agenda 2026'!$S$2:$S$376,0)),""),"")&amp;IF(COUNTIFS('Agenda 2026'!$Q$2:$Q$376,DATE(2026,7,28),'Agenda 2026'!$M$2:$M$376,1)&gt;=12,CHAR(10)&amp;IFERROR(INDEX('Agenda 2026'!$B$2:$B$376,MATCH(DATE(2026,7,28)*10+12,'Agenda 2026'!$S$2:$S$376,0)),""),"")</f>
        <v>28</v>
      </c>
      <c r="D68" s="58" t="str">
        <f t="array" ref="D68">29&amp;IF(COUNTIFS('Agenda 2026'!$Q$2:$Q$376,DATE(2026,7,29),'Agenda 2026'!$M$2:$M$376,1)&gt;=1,CHAR(10)&amp;IFERROR(INDEX('Agenda 2026'!$B$2:$B$376,MATCH(DATE(2026,7,29)*10+1,'Agenda 2026'!$S$2:$S$376,0)),""),"")&amp;IF(COUNTIFS('Agenda 2026'!$Q$2:$Q$376,DATE(2026,7,29),'Agenda 2026'!$M$2:$M$376,1)&gt;=2,CHAR(10)&amp;IFERROR(INDEX('Agenda 2026'!$B$2:$B$376,MATCH(DATE(2026,7,29)*10+2,'Agenda 2026'!$S$2:$S$376,0)),""),"")&amp;IF(COUNTIFS('Agenda 2026'!$Q$2:$Q$376,DATE(2026,7,29),'Agenda 2026'!$M$2:$M$376,1)&gt;=3,CHAR(10)&amp;IFERROR(INDEX('Agenda 2026'!$B$2:$B$376,MATCH(DATE(2026,7,29)*10+3,'Agenda 2026'!$S$2:$S$376,0)),""),"")&amp;IF(COUNTIFS('Agenda 2026'!$Q$2:$Q$376,DATE(2026,7,29),'Agenda 2026'!$M$2:$M$376,1)&gt;=4,CHAR(10)&amp;IFERROR(INDEX('Agenda 2026'!$B$2:$B$376,MATCH(DATE(2026,7,29)*10+4,'Agenda 2026'!$S$2:$S$376,0)),""),"")&amp;IF(COUNTIFS('Agenda 2026'!$Q$2:$Q$376,DATE(2026,7,29),'Agenda 2026'!$M$2:$M$376,1)&gt;=5,CHAR(10)&amp;IFERROR(INDEX('Agenda 2026'!$B$2:$B$376,MATCH(DATE(2026,7,29)*10+5,'Agenda 2026'!$S$2:$S$376,0)),""),"")&amp;IF(COUNTIFS('Agenda 2026'!$Q$2:$Q$376,DATE(2026,7,29),'Agenda 2026'!$M$2:$M$376,1)&gt;=6,CHAR(10)&amp;IFERROR(INDEX('Agenda 2026'!$B$2:$B$376,MATCH(DATE(2026,7,29)*10+6,'Agenda 2026'!$S$2:$S$376,0)),""),"")&amp;IF(COUNTIFS('Agenda 2026'!$Q$2:$Q$376,DATE(2026,7,29),'Agenda 2026'!$M$2:$M$376,1)&gt;=7,CHAR(10)&amp;IFERROR(INDEX('Agenda 2026'!$B$2:$B$376,MATCH(DATE(2026,7,29)*10+7,'Agenda 2026'!$S$2:$S$376,0)),""),"")&amp;IF(COUNTIFS('Agenda 2026'!$Q$2:$Q$376,DATE(2026,7,29),'Agenda 2026'!$M$2:$M$376,1)&gt;=8,CHAR(10)&amp;IFERROR(INDEX('Agenda 2026'!$B$2:$B$376,MATCH(DATE(2026,7,29)*10+8,'Agenda 2026'!$S$2:$S$376,0)),""),"")&amp;IF(COUNTIFS('Agenda 2026'!$Q$2:$Q$376,DATE(2026,7,29),'Agenda 2026'!$M$2:$M$376,1)&gt;=9,CHAR(10)&amp;IFERROR(INDEX('Agenda 2026'!$B$2:$B$376,MATCH(DATE(2026,7,29)*10+9,'Agenda 2026'!$S$2:$S$376,0)),""),"")&amp;IF(COUNTIFS('Agenda 2026'!$Q$2:$Q$376,DATE(2026,7,29),'Agenda 2026'!$M$2:$M$376,1)&gt;=10,CHAR(10)&amp;IFERROR(INDEX('Agenda 2026'!$B$2:$B$376,MATCH(DATE(2026,7,29)*10+10,'Agenda 2026'!$S$2:$S$376,0)),""),"")&amp;IF(COUNTIFS('Agenda 2026'!$Q$2:$Q$376,DATE(2026,7,29),'Agenda 2026'!$M$2:$M$376,1)&gt;=11,CHAR(10)&amp;IFERROR(INDEX('Agenda 2026'!$B$2:$B$376,MATCH(DATE(2026,7,29)*10+11,'Agenda 2026'!$S$2:$S$376,0)),""),"")&amp;IF(COUNTIFS('Agenda 2026'!$Q$2:$Q$376,DATE(2026,7,29),'Agenda 2026'!$M$2:$M$376,1)&gt;=12,CHAR(10)&amp;IFERROR(INDEX('Agenda 2026'!$B$2:$B$376,MATCH(DATE(2026,7,29)*10+12,'Agenda 2026'!$S$2:$S$376,0)),""),"")</f>
        <v>29</v>
      </c>
      <c r="E68" s="58" t="str">
        <f t="array" ref="E68">30&amp;IF(COUNTIFS('Agenda 2026'!$Q$2:$Q$376,DATE(2026,7,30),'Agenda 2026'!$M$2:$M$376,1)&gt;=1,CHAR(10)&amp;IFERROR(INDEX('Agenda 2026'!$B$2:$B$376,MATCH(DATE(2026,7,30)*10+1,'Agenda 2026'!$S$2:$S$376,0)),""),"")&amp;IF(COUNTIFS('Agenda 2026'!$Q$2:$Q$376,DATE(2026,7,30),'Agenda 2026'!$M$2:$M$376,1)&gt;=2,CHAR(10)&amp;IFERROR(INDEX('Agenda 2026'!$B$2:$B$376,MATCH(DATE(2026,7,30)*10+2,'Agenda 2026'!$S$2:$S$376,0)),""),"")&amp;IF(COUNTIFS('Agenda 2026'!$Q$2:$Q$376,DATE(2026,7,30),'Agenda 2026'!$M$2:$M$376,1)&gt;=3,CHAR(10)&amp;IFERROR(INDEX('Agenda 2026'!$B$2:$B$376,MATCH(DATE(2026,7,30)*10+3,'Agenda 2026'!$S$2:$S$376,0)),""),"")&amp;IF(COUNTIFS('Agenda 2026'!$Q$2:$Q$376,DATE(2026,7,30),'Agenda 2026'!$M$2:$M$376,1)&gt;=4,CHAR(10)&amp;IFERROR(INDEX('Agenda 2026'!$B$2:$B$376,MATCH(DATE(2026,7,30)*10+4,'Agenda 2026'!$S$2:$S$376,0)),""),"")&amp;IF(COUNTIFS('Agenda 2026'!$Q$2:$Q$376,DATE(2026,7,30),'Agenda 2026'!$M$2:$M$376,1)&gt;=5,CHAR(10)&amp;IFERROR(INDEX('Agenda 2026'!$B$2:$B$376,MATCH(DATE(2026,7,30)*10+5,'Agenda 2026'!$S$2:$S$376,0)),""),"")&amp;IF(COUNTIFS('Agenda 2026'!$Q$2:$Q$376,DATE(2026,7,30),'Agenda 2026'!$M$2:$M$376,1)&gt;=6,CHAR(10)&amp;IFERROR(INDEX('Agenda 2026'!$B$2:$B$376,MATCH(DATE(2026,7,30)*10+6,'Agenda 2026'!$S$2:$S$376,0)),""),"")&amp;IF(COUNTIFS('Agenda 2026'!$Q$2:$Q$376,DATE(2026,7,30),'Agenda 2026'!$M$2:$M$376,1)&gt;=7,CHAR(10)&amp;IFERROR(INDEX('Agenda 2026'!$B$2:$B$376,MATCH(DATE(2026,7,30)*10+7,'Agenda 2026'!$S$2:$S$376,0)),""),"")&amp;IF(COUNTIFS('Agenda 2026'!$Q$2:$Q$376,DATE(2026,7,30),'Agenda 2026'!$M$2:$M$376,1)&gt;=8,CHAR(10)&amp;IFERROR(INDEX('Agenda 2026'!$B$2:$B$376,MATCH(DATE(2026,7,30)*10+8,'Agenda 2026'!$S$2:$S$376,0)),""),"")&amp;IF(COUNTIFS('Agenda 2026'!$Q$2:$Q$376,DATE(2026,7,30),'Agenda 2026'!$M$2:$M$376,1)&gt;=9,CHAR(10)&amp;IFERROR(INDEX('Agenda 2026'!$B$2:$B$376,MATCH(DATE(2026,7,30)*10+9,'Agenda 2026'!$S$2:$S$376,0)),""),"")&amp;IF(COUNTIFS('Agenda 2026'!$Q$2:$Q$376,DATE(2026,7,30),'Agenda 2026'!$M$2:$M$376,1)&gt;=10,CHAR(10)&amp;IFERROR(INDEX('Agenda 2026'!$B$2:$B$376,MATCH(DATE(2026,7,30)*10+10,'Agenda 2026'!$S$2:$S$376,0)),""),"")&amp;IF(COUNTIFS('Agenda 2026'!$Q$2:$Q$376,DATE(2026,7,30),'Agenda 2026'!$M$2:$M$376,1)&gt;=11,CHAR(10)&amp;IFERROR(INDEX('Agenda 2026'!$B$2:$B$376,MATCH(DATE(2026,7,30)*10+11,'Agenda 2026'!$S$2:$S$376,0)),""),"")&amp;IF(COUNTIFS('Agenda 2026'!$Q$2:$Q$376,DATE(2026,7,30),'Agenda 2026'!$M$2:$M$376,1)&gt;=12,CHAR(10)&amp;IFERROR(INDEX('Agenda 2026'!$B$2:$B$376,MATCH(DATE(2026,7,30)*10+12,'Agenda 2026'!$S$2:$S$376,0)),""),"")</f>
        <v>30</v>
      </c>
      <c r="F68" s="58" t="str">
        <f t="array" ref="F68">31&amp;IF(COUNTIFS('Agenda 2026'!$Q$2:$Q$376,DATE(2026,7,31),'Agenda 2026'!$M$2:$M$376,1)&gt;=1,CHAR(10)&amp;IFERROR(INDEX('Agenda 2026'!$B$2:$B$376,MATCH(DATE(2026,7,31)*10+1,'Agenda 2026'!$S$2:$S$376,0)),""),"")&amp;IF(COUNTIFS('Agenda 2026'!$Q$2:$Q$376,DATE(2026,7,31),'Agenda 2026'!$M$2:$M$376,1)&gt;=2,CHAR(10)&amp;IFERROR(INDEX('Agenda 2026'!$B$2:$B$376,MATCH(DATE(2026,7,31)*10+2,'Agenda 2026'!$S$2:$S$376,0)),""),"")&amp;IF(COUNTIFS('Agenda 2026'!$Q$2:$Q$376,DATE(2026,7,31),'Agenda 2026'!$M$2:$M$376,1)&gt;=3,CHAR(10)&amp;IFERROR(INDEX('Agenda 2026'!$B$2:$B$376,MATCH(DATE(2026,7,31)*10+3,'Agenda 2026'!$S$2:$S$376,0)),""),"")&amp;IF(COUNTIFS('Agenda 2026'!$Q$2:$Q$376,DATE(2026,7,31),'Agenda 2026'!$M$2:$M$376,1)&gt;=4,CHAR(10)&amp;IFERROR(INDEX('Agenda 2026'!$B$2:$B$376,MATCH(DATE(2026,7,31)*10+4,'Agenda 2026'!$S$2:$S$376,0)),""),"")&amp;IF(COUNTIFS('Agenda 2026'!$Q$2:$Q$376,DATE(2026,7,31),'Agenda 2026'!$M$2:$M$376,1)&gt;=5,CHAR(10)&amp;IFERROR(INDEX('Agenda 2026'!$B$2:$B$376,MATCH(DATE(2026,7,31)*10+5,'Agenda 2026'!$S$2:$S$376,0)),""),"")&amp;IF(COUNTIFS('Agenda 2026'!$Q$2:$Q$376,DATE(2026,7,31),'Agenda 2026'!$M$2:$M$376,1)&gt;=6,CHAR(10)&amp;IFERROR(INDEX('Agenda 2026'!$B$2:$B$376,MATCH(DATE(2026,7,31)*10+6,'Agenda 2026'!$S$2:$S$376,0)),""),"")&amp;IF(COUNTIFS('Agenda 2026'!$Q$2:$Q$376,DATE(2026,7,31),'Agenda 2026'!$M$2:$M$376,1)&gt;=7,CHAR(10)&amp;IFERROR(INDEX('Agenda 2026'!$B$2:$B$376,MATCH(DATE(2026,7,31)*10+7,'Agenda 2026'!$S$2:$S$376,0)),""),"")&amp;IF(COUNTIFS('Agenda 2026'!$Q$2:$Q$376,DATE(2026,7,31),'Agenda 2026'!$M$2:$M$376,1)&gt;=8,CHAR(10)&amp;IFERROR(INDEX('Agenda 2026'!$B$2:$B$376,MATCH(DATE(2026,7,31)*10+8,'Agenda 2026'!$S$2:$S$376,0)),""),"")&amp;IF(COUNTIFS('Agenda 2026'!$Q$2:$Q$376,DATE(2026,7,31),'Agenda 2026'!$M$2:$M$376,1)&gt;=9,CHAR(10)&amp;IFERROR(INDEX('Agenda 2026'!$B$2:$B$376,MATCH(DATE(2026,7,31)*10+9,'Agenda 2026'!$S$2:$S$376,0)),""),"")&amp;IF(COUNTIFS('Agenda 2026'!$Q$2:$Q$376,DATE(2026,7,31),'Agenda 2026'!$M$2:$M$376,1)&gt;=10,CHAR(10)&amp;IFERROR(INDEX('Agenda 2026'!$B$2:$B$376,MATCH(DATE(2026,7,31)*10+10,'Agenda 2026'!$S$2:$S$376,0)),""),"")&amp;IF(COUNTIFS('Agenda 2026'!$Q$2:$Q$376,DATE(2026,7,31),'Agenda 2026'!$M$2:$M$376,1)&gt;=11,CHAR(10)&amp;IFERROR(INDEX('Agenda 2026'!$B$2:$B$376,MATCH(DATE(2026,7,31)*10+11,'Agenda 2026'!$S$2:$S$376,0)),""),"")&amp;IF(COUNTIFS('Agenda 2026'!$Q$2:$Q$376,DATE(2026,7,31),'Agenda 2026'!$M$2:$M$376,1)&gt;=12,CHAR(10)&amp;IFERROR(INDEX('Agenda 2026'!$B$2:$B$376,MATCH(DATE(2026,7,31)*10+12,'Agenda 2026'!$S$2:$S$376,0)),""),"")</f>
        <v>31</v>
      </c>
      <c r="G68" s="57"/>
      <c r="H68" s="57"/>
    </row>
    <row r="69" spans="1:8" ht="21.75" customHeight="1" x14ac:dyDescent="0.35">
      <c r="A69" s="17"/>
      <c r="B69" s="57"/>
      <c r="C69" s="57"/>
      <c r="D69" s="57"/>
      <c r="E69" s="57"/>
      <c r="F69" s="57"/>
      <c r="G69" s="57"/>
      <c r="H69" s="57"/>
    </row>
    <row r="70" spans="1:8" ht="15.75" customHeight="1" x14ac:dyDescent="0.35">
      <c r="A70" s="17"/>
      <c r="B70" s="17"/>
      <c r="C70" s="17"/>
      <c r="D70" s="17"/>
      <c r="E70" s="17"/>
      <c r="F70" s="17"/>
      <c r="G70" s="17"/>
      <c r="H70" s="17"/>
    </row>
    <row r="71" spans="1:8" ht="21.75" customHeight="1" x14ac:dyDescent="0.35">
      <c r="A71" s="17"/>
      <c r="B71" s="10" t="s">
        <v>71</v>
      </c>
      <c r="C71" s="10"/>
      <c r="D71" s="10"/>
      <c r="E71" s="10"/>
      <c r="F71" s="10"/>
      <c r="G71" s="10"/>
      <c r="H71" s="10"/>
    </row>
    <row r="72" spans="1:8" ht="15.75" customHeight="1" x14ac:dyDescent="0.35">
      <c r="A72" s="17"/>
      <c r="B72" s="56" t="s">
        <v>58</v>
      </c>
      <c r="C72" s="56" t="s">
        <v>59</v>
      </c>
      <c r="D72" s="56" t="s">
        <v>60</v>
      </c>
      <c r="E72" s="56" t="s">
        <v>61</v>
      </c>
      <c r="F72" s="56" t="s">
        <v>62</v>
      </c>
      <c r="G72" s="56" t="s">
        <v>63</v>
      </c>
      <c r="H72" s="56" t="s">
        <v>64</v>
      </c>
    </row>
    <row r="73" spans="1:8" ht="33.75" customHeight="1" x14ac:dyDescent="0.35">
      <c r="A73" s="17"/>
      <c r="B73" s="57"/>
      <c r="C73" s="57"/>
      <c r="D73" s="57"/>
      <c r="E73" s="57"/>
      <c r="F73" s="57"/>
      <c r="G73" s="58" t="str">
        <f t="array" ref="G73">1&amp;IF(COUNTIFS('Agenda 2026'!$Q$2:$Q$376,DATE(2026,8,1),'Agenda 2026'!$M$2:$M$376,1)&gt;=1,CHAR(10)&amp;IFERROR(INDEX('Agenda 2026'!$B$2:$B$376,MATCH(DATE(2026,8,1)*10+1,'Agenda 2026'!$S$2:$S$376,0)),""),"")&amp;IF(COUNTIFS('Agenda 2026'!$Q$2:$Q$376,DATE(2026,8,1),'Agenda 2026'!$M$2:$M$376,1)&gt;=2,CHAR(10)&amp;IFERROR(INDEX('Agenda 2026'!$B$2:$B$376,MATCH(DATE(2026,8,1)*10+2,'Agenda 2026'!$S$2:$S$376,0)),""),"")&amp;IF(COUNTIFS('Agenda 2026'!$Q$2:$Q$376,DATE(2026,8,1),'Agenda 2026'!$M$2:$M$376,1)&gt;=3,CHAR(10)&amp;IFERROR(INDEX('Agenda 2026'!$B$2:$B$376,MATCH(DATE(2026,8,1)*10+3,'Agenda 2026'!$S$2:$S$376,0)),""),"")&amp;IF(COUNTIFS('Agenda 2026'!$Q$2:$Q$376,DATE(2026,8,1),'Agenda 2026'!$M$2:$M$376,1)&gt;=4,CHAR(10)&amp;IFERROR(INDEX('Agenda 2026'!$B$2:$B$376,MATCH(DATE(2026,8,1)*10+4,'Agenda 2026'!$S$2:$S$376,0)),""),"")&amp;IF(COUNTIFS('Agenda 2026'!$Q$2:$Q$376,DATE(2026,8,1),'Agenda 2026'!$M$2:$M$376,1)&gt;=5,CHAR(10)&amp;IFERROR(INDEX('Agenda 2026'!$B$2:$B$376,MATCH(DATE(2026,8,1)*10+5,'Agenda 2026'!$S$2:$S$376,0)),""),"")&amp;IF(COUNTIFS('Agenda 2026'!$Q$2:$Q$376,DATE(2026,8,1),'Agenda 2026'!$M$2:$M$376,1)&gt;=6,CHAR(10)&amp;IFERROR(INDEX('Agenda 2026'!$B$2:$B$376,MATCH(DATE(2026,8,1)*10+6,'Agenda 2026'!$S$2:$S$376,0)),""),"")&amp;IF(COUNTIFS('Agenda 2026'!$Q$2:$Q$376,DATE(2026,8,1),'Agenda 2026'!$M$2:$M$376,1)&gt;=7,CHAR(10)&amp;IFERROR(INDEX('Agenda 2026'!$B$2:$B$376,MATCH(DATE(2026,8,1)*10+7,'Agenda 2026'!$S$2:$S$376,0)),""),"")&amp;IF(COUNTIFS('Agenda 2026'!$Q$2:$Q$376,DATE(2026,8,1),'Agenda 2026'!$M$2:$M$376,1)&gt;=8,CHAR(10)&amp;IFERROR(INDEX('Agenda 2026'!$B$2:$B$376,MATCH(DATE(2026,8,1)*10+8,'Agenda 2026'!$S$2:$S$376,0)),""),"")&amp;IF(COUNTIFS('Agenda 2026'!$Q$2:$Q$376,DATE(2026,8,1),'Agenda 2026'!$M$2:$M$376,1)&gt;=9,CHAR(10)&amp;IFERROR(INDEX('Agenda 2026'!$B$2:$B$376,MATCH(DATE(2026,8,1)*10+9,'Agenda 2026'!$S$2:$S$376,0)),""),"")&amp;IF(COUNTIFS('Agenda 2026'!$Q$2:$Q$376,DATE(2026,8,1),'Agenda 2026'!$M$2:$M$376,1)&gt;=10,CHAR(10)&amp;IFERROR(INDEX('Agenda 2026'!$B$2:$B$376,MATCH(DATE(2026,8,1)*10+10,'Agenda 2026'!$S$2:$S$376,0)),""),"")&amp;IF(COUNTIFS('Agenda 2026'!$Q$2:$Q$376,DATE(2026,8,1),'Agenda 2026'!$M$2:$M$376,1)&gt;=11,CHAR(10)&amp;IFERROR(INDEX('Agenda 2026'!$B$2:$B$376,MATCH(DATE(2026,8,1)*10+11,'Agenda 2026'!$S$2:$S$376,0)),""),"")&amp;IF(COUNTIFS('Agenda 2026'!$Q$2:$Q$376,DATE(2026,8,1),'Agenda 2026'!$M$2:$M$376,1)&gt;=12,CHAR(10)&amp;IFERROR(INDEX('Agenda 2026'!$B$2:$B$376,MATCH(DATE(2026,8,1)*10+12,'Agenda 2026'!$S$2:$S$376,0)),""),"")</f>
        <v>1</v>
      </c>
      <c r="H73" s="58" t="str">
        <f t="array" ref="H73">2&amp;IF(COUNTIFS('Agenda 2026'!$Q$2:$Q$376,DATE(2026,8,2),'Agenda 2026'!$M$2:$M$376,1)&gt;=1,CHAR(10)&amp;IFERROR(INDEX('Agenda 2026'!$B$2:$B$376,MATCH(DATE(2026,8,2)*10+1,'Agenda 2026'!$S$2:$S$376,0)),""),"")&amp;IF(COUNTIFS('Agenda 2026'!$Q$2:$Q$376,DATE(2026,8,2),'Agenda 2026'!$M$2:$M$376,1)&gt;=2,CHAR(10)&amp;IFERROR(INDEX('Agenda 2026'!$B$2:$B$376,MATCH(DATE(2026,8,2)*10+2,'Agenda 2026'!$S$2:$S$376,0)),""),"")&amp;IF(COUNTIFS('Agenda 2026'!$Q$2:$Q$376,DATE(2026,8,2),'Agenda 2026'!$M$2:$M$376,1)&gt;=3,CHAR(10)&amp;IFERROR(INDEX('Agenda 2026'!$B$2:$B$376,MATCH(DATE(2026,8,2)*10+3,'Agenda 2026'!$S$2:$S$376,0)),""),"")&amp;IF(COUNTIFS('Agenda 2026'!$Q$2:$Q$376,DATE(2026,8,2),'Agenda 2026'!$M$2:$M$376,1)&gt;=4,CHAR(10)&amp;IFERROR(INDEX('Agenda 2026'!$B$2:$B$376,MATCH(DATE(2026,8,2)*10+4,'Agenda 2026'!$S$2:$S$376,0)),""),"")&amp;IF(COUNTIFS('Agenda 2026'!$Q$2:$Q$376,DATE(2026,8,2),'Agenda 2026'!$M$2:$M$376,1)&gt;=5,CHAR(10)&amp;IFERROR(INDEX('Agenda 2026'!$B$2:$B$376,MATCH(DATE(2026,8,2)*10+5,'Agenda 2026'!$S$2:$S$376,0)),""),"")&amp;IF(COUNTIFS('Agenda 2026'!$Q$2:$Q$376,DATE(2026,8,2),'Agenda 2026'!$M$2:$M$376,1)&gt;=6,CHAR(10)&amp;IFERROR(INDEX('Agenda 2026'!$B$2:$B$376,MATCH(DATE(2026,8,2)*10+6,'Agenda 2026'!$S$2:$S$376,0)),""),"")&amp;IF(COUNTIFS('Agenda 2026'!$Q$2:$Q$376,DATE(2026,8,2),'Agenda 2026'!$M$2:$M$376,1)&gt;=7,CHAR(10)&amp;IFERROR(INDEX('Agenda 2026'!$B$2:$B$376,MATCH(DATE(2026,8,2)*10+7,'Agenda 2026'!$S$2:$S$376,0)),""),"")&amp;IF(COUNTIFS('Agenda 2026'!$Q$2:$Q$376,DATE(2026,8,2),'Agenda 2026'!$M$2:$M$376,1)&gt;=8,CHAR(10)&amp;IFERROR(INDEX('Agenda 2026'!$B$2:$B$376,MATCH(DATE(2026,8,2)*10+8,'Agenda 2026'!$S$2:$S$376,0)),""),"")&amp;IF(COUNTIFS('Agenda 2026'!$Q$2:$Q$376,DATE(2026,8,2),'Agenda 2026'!$M$2:$M$376,1)&gt;=9,CHAR(10)&amp;IFERROR(INDEX('Agenda 2026'!$B$2:$B$376,MATCH(DATE(2026,8,2)*10+9,'Agenda 2026'!$S$2:$S$376,0)),""),"")&amp;IF(COUNTIFS('Agenda 2026'!$Q$2:$Q$376,DATE(2026,8,2),'Agenda 2026'!$M$2:$M$376,1)&gt;=10,CHAR(10)&amp;IFERROR(INDEX('Agenda 2026'!$B$2:$B$376,MATCH(DATE(2026,8,2)*10+10,'Agenda 2026'!$S$2:$S$376,0)),""),"")&amp;IF(COUNTIFS('Agenda 2026'!$Q$2:$Q$376,DATE(2026,8,2),'Agenda 2026'!$M$2:$M$376,1)&gt;=11,CHAR(10)&amp;IFERROR(INDEX('Agenda 2026'!$B$2:$B$376,MATCH(DATE(2026,8,2)*10+11,'Agenda 2026'!$S$2:$S$376,0)),""),"")&amp;IF(COUNTIFS('Agenda 2026'!$Q$2:$Q$376,DATE(2026,8,2),'Agenda 2026'!$M$2:$M$376,1)&gt;=12,CHAR(10)&amp;IFERROR(INDEX('Agenda 2026'!$B$2:$B$376,MATCH(DATE(2026,8,2)*10+12,'Agenda 2026'!$S$2:$S$376,0)),""),"")</f>
        <v>2</v>
      </c>
    </row>
    <row r="74" spans="1:8" ht="45.75" customHeight="1" x14ac:dyDescent="0.35">
      <c r="A74" s="17"/>
      <c r="B74" s="58" t="str">
        <f t="array" ref="B74">3&amp;IF(COUNTIFS('Agenda 2026'!$Q$2:$Q$376,DATE(2026,8,3),'Agenda 2026'!$M$2:$M$376,1)&gt;=1,CHAR(10)&amp;IFERROR(INDEX('Agenda 2026'!$B$2:$B$376,MATCH(DATE(2026,8,3)*10+1,'Agenda 2026'!$S$2:$S$376,0)),""),"")&amp;IF(COUNTIFS('Agenda 2026'!$Q$2:$Q$376,DATE(2026,8,3),'Agenda 2026'!$M$2:$M$376,1)&gt;=2,CHAR(10)&amp;IFERROR(INDEX('Agenda 2026'!$B$2:$B$376,MATCH(DATE(2026,8,3)*10+2,'Agenda 2026'!$S$2:$S$376,0)),""),"")&amp;IF(COUNTIFS('Agenda 2026'!$Q$2:$Q$376,DATE(2026,8,3),'Agenda 2026'!$M$2:$M$376,1)&gt;=3,CHAR(10)&amp;IFERROR(INDEX('Agenda 2026'!$B$2:$B$376,MATCH(DATE(2026,8,3)*10+3,'Agenda 2026'!$S$2:$S$376,0)),""),"")&amp;IF(COUNTIFS('Agenda 2026'!$Q$2:$Q$376,DATE(2026,8,3),'Agenda 2026'!$M$2:$M$376,1)&gt;=4,CHAR(10)&amp;IFERROR(INDEX('Agenda 2026'!$B$2:$B$376,MATCH(DATE(2026,8,3)*10+4,'Agenda 2026'!$S$2:$S$376,0)),""),"")&amp;IF(COUNTIFS('Agenda 2026'!$Q$2:$Q$376,DATE(2026,8,3),'Agenda 2026'!$M$2:$M$376,1)&gt;=5,CHAR(10)&amp;IFERROR(INDEX('Agenda 2026'!$B$2:$B$376,MATCH(DATE(2026,8,3)*10+5,'Agenda 2026'!$S$2:$S$376,0)),""),"")&amp;IF(COUNTIFS('Agenda 2026'!$Q$2:$Q$376,DATE(2026,8,3),'Agenda 2026'!$M$2:$M$376,1)&gt;=6,CHAR(10)&amp;IFERROR(INDEX('Agenda 2026'!$B$2:$B$376,MATCH(DATE(2026,8,3)*10+6,'Agenda 2026'!$S$2:$S$376,0)),""),"")&amp;IF(COUNTIFS('Agenda 2026'!$Q$2:$Q$376,DATE(2026,8,3),'Agenda 2026'!$M$2:$M$376,1)&gt;=7,CHAR(10)&amp;IFERROR(INDEX('Agenda 2026'!$B$2:$B$376,MATCH(DATE(2026,8,3)*10+7,'Agenda 2026'!$S$2:$S$376,0)),""),"")&amp;IF(COUNTIFS('Agenda 2026'!$Q$2:$Q$376,DATE(2026,8,3),'Agenda 2026'!$M$2:$M$376,1)&gt;=8,CHAR(10)&amp;IFERROR(INDEX('Agenda 2026'!$B$2:$B$376,MATCH(DATE(2026,8,3)*10+8,'Agenda 2026'!$S$2:$S$376,0)),""),"")&amp;IF(COUNTIFS('Agenda 2026'!$Q$2:$Q$376,DATE(2026,8,3),'Agenda 2026'!$M$2:$M$376,1)&gt;=9,CHAR(10)&amp;IFERROR(INDEX('Agenda 2026'!$B$2:$B$376,MATCH(DATE(2026,8,3)*10+9,'Agenda 2026'!$S$2:$S$376,0)),""),"")&amp;IF(COUNTIFS('Agenda 2026'!$Q$2:$Q$376,DATE(2026,8,3),'Agenda 2026'!$M$2:$M$376,1)&gt;=10,CHAR(10)&amp;IFERROR(INDEX('Agenda 2026'!$B$2:$B$376,MATCH(DATE(2026,8,3)*10+10,'Agenda 2026'!$S$2:$S$376,0)),""),"")&amp;IF(COUNTIFS('Agenda 2026'!$Q$2:$Q$376,DATE(2026,8,3),'Agenda 2026'!$M$2:$M$376,1)&gt;=11,CHAR(10)&amp;IFERROR(INDEX('Agenda 2026'!$B$2:$B$376,MATCH(DATE(2026,8,3)*10+11,'Agenda 2026'!$S$2:$S$376,0)),""),"")&amp;IF(COUNTIFS('Agenda 2026'!$Q$2:$Q$376,DATE(2026,8,3),'Agenda 2026'!$M$2:$M$376,1)&gt;=12,CHAR(10)&amp;IFERROR(INDEX('Agenda 2026'!$B$2:$B$376,MATCH(DATE(2026,8,3)*10+12,'Agenda 2026'!$S$2:$S$376,0)),""),"")</f>
        <v>3</v>
      </c>
      <c r="C74" s="58" t="str">
        <f t="array" ref="C74">4&amp;IF(COUNTIFS('Agenda 2026'!$Q$2:$Q$376,DATE(2026,8,4),'Agenda 2026'!$M$2:$M$376,1)&gt;=1,CHAR(10)&amp;IFERROR(INDEX('Agenda 2026'!$B$2:$B$376,MATCH(DATE(2026,8,4)*10+1,'Agenda 2026'!$S$2:$S$376,0)),""),"")&amp;IF(COUNTIFS('Agenda 2026'!$Q$2:$Q$376,DATE(2026,8,4),'Agenda 2026'!$M$2:$M$376,1)&gt;=2,CHAR(10)&amp;IFERROR(INDEX('Agenda 2026'!$B$2:$B$376,MATCH(DATE(2026,8,4)*10+2,'Agenda 2026'!$S$2:$S$376,0)),""),"")&amp;IF(COUNTIFS('Agenda 2026'!$Q$2:$Q$376,DATE(2026,8,4),'Agenda 2026'!$M$2:$M$376,1)&gt;=3,CHAR(10)&amp;IFERROR(INDEX('Agenda 2026'!$B$2:$B$376,MATCH(DATE(2026,8,4)*10+3,'Agenda 2026'!$S$2:$S$376,0)),""),"")&amp;IF(COUNTIFS('Agenda 2026'!$Q$2:$Q$376,DATE(2026,8,4),'Agenda 2026'!$M$2:$M$376,1)&gt;=4,CHAR(10)&amp;IFERROR(INDEX('Agenda 2026'!$B$2:$B$376,MATCH(DATE(2026,8,4)*10+4,'Agenda 2026'!$S$2:$S$376,0)),""),"")&amp;IF(COUNTIFS('Agenda 2026'!$Q$2:$Q$376,DATE(2026,8,4),'Agenda 2026'!$M$2:$M$376,1)&gt;=5,CHAR(10)&amp;IFERROR(INDEX('Agenda 2026'!$B$2:$B$376,MATCH(DATE(2026,8,4)*10+5,'Agenda 2026'!$S$2:$S$376,0)),""),"")&amp;IF(COUNTIFS('Agenda 2026'!$Q$2:$Q$376,DATE(2026,8,4),'Agenda 2026'!$M$2:$M$376,1)&gt;=6,CHAR(10)&amp;IFERROR(INDEX('Agenda 2026'!$B$2:$B$376,MATCH(DATE(2026,8,4)*10+6,'Agenda 2026'!$S$2:$S$376,0)),""),"")&amp;IF(COUNTIFS('Agenda 2026'!$Q$2:$Q$376,DATE(2026,8,4),'Agenda 2026'!$M$2:$M$376,1)&gt;=7,CHAR(10)&amp;IFERROR(INDEX('Agenda 2026'!$B$2:$B$376,MATCH(DATE(2026,8,4)*10+7,'Agenda 2026'!$S$2:$S$376,0)),""),"")&amp;IF(COUNTIFS('Agenda 2026'!$Q$2:$Q$376,DATE(2026,8,4),'Agenda 2026'!$M$2:$M$376,1)&gt;=8,CHAR(10)&amp;IFERROR(INDEX('Agenda 2026'!$B$2:$B$376,MATCH(DATE(2026,8,4)*10+8,'Agenda 2026'!$S$2:$S$376,0)),""),"")&amp;IF(COUNTIFS('Agenda 2026'!$Q$2:$Q$376,DATE(2026,8,4),'Agenda 2026'!$M$2:$M$376,1)&gt;=9,CHAR(10)&amp;IFERROR(INDEX('Agenda 2026'!$B$2:$B$376,MATCH(DATE(2026,8,4)*10+9,'Agenda 2026'!$S$2:$S$376,0)),""),"")&amp;IF(COUNTIFS('Agenda 2026'!$Q$2:$Q$376,DATE(2026,8,4),'Agenda 2026'!$M$2:$M$376,1)&gt;=10,CHAR(10)&amp;IFERROR(INDEX('Agenda 2026'!$B$2:$B$376,MATCH(DATE(2026,8,4)*10+10,'Agenda 2026'!$S$2:$S$376,0)),""),"")&amp;IF(COUNTIFS('Agenda 2026'!$Q$2:$Q$376,DATE(2026,8,4),'Agenda 2026'!$M$2:$M$376,1)&gt;=11,CHAR(10)&amp;IFERROR(INDEX('Agenda 2026'!$B$2:$B$376,MATCH(DATE(2026,8,4)*10+11,'Agenda 2026'!$S$2:$S$376,0)),""),"")&amp;IF(COUNTIFS('Agenda 2026'!$Q$2:$Q$376,DATE(2026,8,4),'Agenda 2026'!$M$2:$M$376,1)&gt;=12,CHAR(10)&amp;IFERROR(INDEX('Agenda 2026'!$B$2:$B$376,MATCH(DATE(2026,8,4)*10+12,'Agenda 2026'!$S$2:$S$376,0)),""),"")</f>
        <v>4</v>
      </c>
      <c r="D74" s="58" t="str">
        <f t="array" ref="D74">5&amp;IF(COUNTIFS('Agenda 2026'!$Q$2:$Q$376,DATE(2026,8,5),'Agenda 2026'!$M$2:$M$376,1)&gt;=1,CHAR(10)&amp;IFERROR(INDEX('Agenda 2026'!$B$2:$B$376,MATCH(DATE(2026,8,5)*10+1,'Agenda 2026'!$S$2:$S$376,0)),""),"")&amp;IF(COUNTIFS('Agenda 2026'!$Q$2:$Q$376,DATE(2026,8,5),'Agenda 2026'!$M$2:$M$376,1)&gt;=2,CHAR(10)&amp;IFERROR(INDEX('Agenda 2026'!$B$2:$B$376,MATCH(DATE(2026,8,5)*10+2,'Agenda 2026'!$S$2:$S$376,0)),""),"")&amp;IF(COUNTIFS('Agenda 2026'!$Q$2:$Q$376,DATE(2026,8,5),'Agenda 2026'!$M$2:$M$376,1)&gt;=3,CHAR(10)&amp;IFERROR(INDEX('Agenda 2026'!$B$2:$B$376,MATCH(DATE(2026,8,5)*10+3,'Agenda 2026'!$S$2:$S$376,0)),""),"")&amp;IF(COUNTIFS('Agenda 2026'!$Q$2:$Q$376,DATE(2026,8,5),'Agenda 2026'!$M$2:$M$376,1)&gt;=4,CHAR(10)&amp;IFERROR(INDEX('Agenda 2026'!$B$2:$B$376,MATCH(DATE(2026,8,5)*10+4,'Agenda 2026'!$S$2:$S$376,0)),""),"")&amp;IF(COUNTIFS('Agenda 2026'!$Q$2:$Q$376,DATE(2026,8,5),'Agenda 2026'!$M$2:$M$376,1)&gt;=5,CHAR(10)&amp;IFERROR(INDEX('Agenda 2026'!$B$2:$B$376,MATCH(DATE(2026,8,5)*10+5,'Agenda 2026'!$S$2:$S$376,0)),""),"")&amp;IF(COUNTIFS('Agenda 2026'!$Q$2:$Q$376,DATE(2026,8,5),'Agenda 2026'!$M$2:$M$376,1)&gt;=6,CHAR(10)&amp;IFERROR(INDEX('Agenda 2026'!$B$2:$B$376,MATCH(DATE(2026,8,5)*10+6,'Agenda 2026'!$S$2:$S$376,0)),""),"")&amp;IF(COUNTIFS('Agenda 2026'!$Q$2:$Q$376,DATE(2026,8,5),'Agenda 2026'!$M$2:$M$376,1)&gt;=7,CHAR(10)&amp;IFERROR(INDEX('Agenda 2026'!$B$2:$B$376,MATCH(DATE(2026,8,5)*10+7,'Agenda 2026'!$S$2:$S$376,0)),""),"")&amp;IF(COUNTIFS('Agenda 2026'!$Q$2:$Q$376,DATE(2026,8,5),'Agenda 2026'!$M$2:$M$376,1)&gt;=8,CHAR(10)&amp;IFERROR(INDEX('Agenda 2026'!$B$2:$B$376,MATCH(DATE(2026,8,5)*10+8,'Agenda 2026'!$S$2:$S$376,0)),""),"")&amp;IF(COUNTIFS('Agenda 2026'!$Q$2:$Q$376,DATE(2026,8,5),'Agenda 2026'!$M$2:$M$376,1)&gt;=9,CHAR(10)&amp;IFERROR(INDEX('Agenda 2026'!$B$2:$B$376,MATCH(DATE(2026,8,5)*10+9,'Agenda 2026'!$S$2:$S$376,0)),""),"")&amp;IF(COUNTIFS('Agenda 2026'!$Q$2:$Q$376,DATE(2026,8,5),'Agenda 2026'!$M$2:$M$376,1)&gt;=10,CHAR(10)&amp;IFERROR(INDEX('Agenda 2026'!$B$2:$B$376,MATCH(DATE(2026,8,5)*10+10,'Agenda 2026'!$S$2:$S$376,0)),""),"")&amp;IF(COUNTIFS('Agenda 2026'!$Q$2:$Q$376,DATE(2026,8,5),'Agenda 2026'!$M$2:$M$376,1)&gt;=11,CHAR(10)&amp;IFERROR(INDEX('Agenda 2026'!$B$2:$B$376,MATCH(DATE(2026,8,5)*10+11,'Agenda 2026'!$S$2:$S$376,0)),""),"")&amp;IF(COUNTIFS('Agenda 2026'!$Q$2:$Q$376,DATE(2026,8,5),'Agenda 2026'!$M$2:$M$376,1)&gt;=12,CHAR(10)&amp;IFERROR(INDEX('Agenda 2026'!$B$2:$B$376,MATCH(DATE(2026,8,5)*10+12,'Agenda 2026'!$S$2:$S$376,0)),""),"")</f>
        <v>5</v>
      </c>
      <c r="E74" s="58" t="str">
        <f t="array" ref="E74">6&amp;IF(COUNTIFS('Agenda 2026'!$Q$2:$Q$376,DATE(2026,8,6),'Agenda 2026'!$M$2:$M$376,1)&gt;=1,CHAR(10)&amp;IFERROR(INDEX('Agenda 2026'!$B$2:$B$376,MATCH(DATE(2026,8,6)*10+1,'Agenda 2026'!$S$2:$S$376,0)),""),"")&amp;IF(COUNTIFS('Agenda 2026'!$Q$2:$Q$376,DATE(2026,8,6),'Agenda 2026'!$M$2:$M$376,1)&gt;=2,CHAR(10)&amp;IFERROR(INDEX('Agenda 2026'!$B$2:$B$376,MATCH(DATE(2026,8,6)*10+2,'Agenda 2026'!$S$2:$S$376,0)),""),"")&amp;IF(COUNTIFS('Agenda 2026'!$Q$2:$Q$376,DATE(2026,8,6),'Agenda 2026'!$M$2:$M$376,1)&gt;=3,CHAR(10)&amp;IFERROR(INDEX('Agenda 2026'!$B$2:$B$376,MATCH(DATE(2026,8,6)*10+3,'Agenda 2026'!$S$2:$S$376,0)),""),"")&amp;IF(COUNTIFS('Agenda 2026'!$Q$2:$Q$376,DATE(2026,8,6),'Agenda 2026'!$M$2:$M$376,1)&gt;=4,CHAR(10)&amp;IFERROR(INDEX('Agenda 2026'!$B$2:$B$376,MATCH(DATE(2026,8,6)*10+4,'Agenda 2026'!$S$2:$S$376,0)),""),"")&amp;IF(COUNTIFS('Agenda 2026'!$Q$2:$Q$376,DATE(2026,8,6),'Agenda 2026'!$M$2:$M$376,1)&gt;=5,CHAR(10)&amp;IFERROR(INDEX('Agenda 2026'!$B$2:$B$376,MATCH(DATE(2026,8,6)*10+5,'Agenda 2026'!$S$2:$S$376,0)),""),"")&amp;IF(COUNTIFS('Agenda 2026'!$Q$2:$Q$376,DATE(2026,8,6),'Agenda 2026'!$M$2:$M$376,1)&gt;=6,CHAR(10)&amp;IFERROR(INDEX('Agenda 2026'!$B$2:$B$376,MATCH(DATE(2026,8,6)*10+6,'Agenda 2026'!$S$2:$S$376,0)),""),"")&amp;IF(COUNTIFS('Agenda 2026'!$Q$2:$Q$376,DATE(2026,8,6),'Agenda 2026'!$M$2:$M$376,1)&gt;=7,CHAR(10)&amp;IFERROR(INDEX('Agenda 2026'!$B$2:$B$376,MATCH(DATE(2026,8,6)*10+7,'Agenda 2026'!$S$2:$S$376,0)),""),"")&amp;IF(COUNTIFS('Agenda 2026'!$Q$2:$Q$376,DATE(2026,8,6),'Agenda 2026'!$M$2:$M$376,1)&gt;=8,CHAR(10)&amp;IFERROR(INDEX('Agenda 2026'!$B$2:$B$376,MATCH(DATE(2026,8,6)*10+8,'Agenda 2026'!$S$2:$S$376,0)),""),"")&amp;IF(COUNTIFS('Agenda 2026'!$Q$2:$Q$376,DATE(2026,8,6),'Agenda 2026'!$M$2:$M$376,1)&gt;=9,CHAR(10)&amp;IFERROR(INDEX('Agenda 2026'!$B$2:$B$376,MATCH(DATE(2026,8,6)*10+9,'Agenda 2026'!$S$2:$S$376,0)),""),"")&amp;IF(COUNTIFS('Agenda 2026'!$Q$2:$Q$376,DATE(2026,8,6),'Agenda 2026'!$M$2:$M$376,1)&gt;=10,CHAR(10)&amp;IFERROR(INDEX('Agenda 2026'!$B$2:$B$376,MATCH(DATE(2026,8,6)*10+10,'Agenda 2026'!$S$2:$S$376,0)),""),"")&amp;IF(COUNTIFS('Agenda 2026'!$Q$2:$Q$376,DATE(2026,8,6),'Agenda 2026'!$M$2:$M$376,1)&gt;=11,CHAR(10)&amp;IFERROR(INDEX('Agenda 2026'!$B$2:$B$376,MATCH(DATE(2026,8,6)*10+11,'Agenda 2026'!$S$2:$S$376,0)),""),"")&amp;IF(COUNTIFS('Agenda 2026'!$Q$2:$Q$376,DATE(2026,8,6),'Agenda 2026'!$M$2:$M$376,1)&gt;=12,CHAR(10)&amp;IFERROR(INDEX('Agenda 2026'!$B$2:$B$376,MATCH(DATE(2026,8,6)*10+12,'Agenda 2026'!$S$2:$S$376,0)),""),"")</f>
        <v>6</v>
      </c>
      <c r="F74" s="58" t="str">
        <f t="array" ref="F74">7&amp;IF(COUNTIFS('Agenda 2026'!$Q$2:$Q$376,DATE(2026,8,7),'Agenda 2026'!$M$2:$M$376,1)&gt;=1,CHAR(10)&amp;IFERROR(INDEX('Agenda 2026'!$B$2:$B$376,MATCH(DATE(2026,8,7)*10+1,'Agenda 2026'!$S$2:$S$376,0)),""),"")&amp;IF(COUNTIFS('Agenda 2026'!$Q$2:$Q$376,DATE(2026,8,7),'Agenda 2026'!$M$2:$M$376,1)&gt;=2,CHAR(10)&amp;IFERROR(INDEX('Agenda 2026'!$B$2:$B$376,MATCH(DATE(2026,8,7)*10+2,'Agenda 2026'!$S$2:$S$376,0)),""),"")&amp;IF(COUNTIFS('Agenda 2026'!$Q$2:$Q$376,DATE(2026,8,7),'Agenda 2026'!$M$2:$M$376,1)&gt;=3,CHAR(10)&amp;IFERROR(INDEX('Agenda 2026'!$B$2:$B$376,MATCH(DATE(2026,8,7)*10+3,'Agenda 2026'!$S$2:$S$376,0)),""),"")&amp;IF(COUNTIFS('Agenda 2026'!$Q$2:$Q$376,DATE(2026,8,7),'Agenda 2026'!$M$2:$M$376,1)&gt;=4,CHAR(10)&amp;IFERROR(INDEX('Agenda 2026'!$B$2:$B$376,MATCH(DATE(2026,8,7)*10+4,'Agenda 2026'!$S$2:$S$376,0)),""),"")&amp;IF(COUNTIFS('Agenda 2026'!$Q$2:$Q$376,DATE(2026,8,7),'Agenda 2026'!$M$2:$M$376,1)&gt;=5,CHAR(10)&amp;IFERROR(INDEX('Agenda 2026'!$B$2:$B$376,MATCH(DATE(2026,8,7)*10+5,'Agenda 2026'!$S$2:$S$376,0)),""),"")&amp;IF(COUNTIFS('Agenda 2026'!$Q$2:$Q$376,DATE(2026,8,7),'Agenda 2026'!$M$2:$M$376,1)&gt;=6,CHAR(10)&amp;IFERROR(INDEX('Agenda 2026'!$B$2:$B$376,MATCH(DATE(2026,8,7)*10+6,'Agenda 2026'!$S$2:$S$376,0)),""),"")&amp;IF(COUNTIFS('Agenda 2026'!$Q$2:$Q$376,DATE(2026,8,7),'Agenda 2026'!$M$2:$M$376,1)&gt;=7,CHAR(10)&amp;IFERROR(INDEX('Agenda 2026'!$B$2:$B$376,MATCH(DATE(2026,8,7)*10+7,'Agenda 2026'!$S$2:$S$376,0)),""),"")&amp;IF(COUNTIFS('Agenda 2026'!$Q$2:$Q$376,DATE(2026,8,7),'Agenda 2026'!$M$2:$M$376,1)&gt;=8,CHAR(10)&amp;IFERROR(INDEX('Agenda 2026'!$B$2:$B$376,MATCH(DATE(2026,8,7)*10+8,'Agenda 2026'!$S$2:$S$376,0)),""),"")&amp;IF(COUNTIFS('Agenda 2026'!$Q$2:$Q$376,DATE(2026,8,7),'Agenda 2026'!$M$2:$M$376,1)&gt;=9,CHAR(10)&amp;IFERROR(INDEX('Agenda 2026'!$B$2:$B$376,MATCH(DATE(2026,8,7)*10+9,'Agenda 2026'!$S$2:$S$376,0)),""),"")&amp;IF(COUNTIFS('Agenda 2026'!$Q$2:$Q$376,DATE(2026,8,7),'Agenda 2026'!$M$2:$M$376,1)&gt;=10,CHAR(10)&amp;IFERROR(INDEX('Agenda 2026'!$B$2:$B$376,MATCH(DATE(2026,8,7)*10+10,'Agenda 2026'!$S$2:$S$376,0)),""),"")&amp;IF(COUNTIFS('Agenda 2026'!$Q$2:$Q$376,DATE(2026,8,7),'Agenda 2026'!$M$2:$M$376,1)&gt;=11,CHAR(10)&amp;IFERROR(INDEX('Agenda 2026'!$B$2:$B$376,MATCH(DATE(2026,8,7)*10+11,'Agenda 2026'!$S$2:$S$376,0)),""),"")&amp;IF(COUNTIFS('Agenda 2026'!$Q$2:$Q$376,DATE(2026,8,7),'Agenda 2026'!$M$2:$M$376,1)&gt;=12,CHAR(10)&amp;IFERROR(INDEX('Agenda 2026'!$B$2:$B$376,MATCH(DATE(2026,8,7)*10+12,'Agenda 2026'!$S$2:$S$376,0)),""),"")</f>
        <v>7</v>
      </c>
      <c r="G74" s="58" t="str">
        <f t="array" ref="G74">8&amp;IF(COUNTIFS('Agenda 2026'!$Q$2:$Q$376,DATE(2026,8,8),'Agenda 2026'!$M$2:$M$376,1)&gt;=1,CHAR(10)&amp;IFERROR(INDEX('Agenda 2026'!$B$2:$B$376,MATCH(DATE(2026,8,8)*10+1,'Agenda 2026'!$S$2:$S$376,0)),""),"")&amp;IF(COUNTIFS('Agenda 2026'!$Q$2:$Q$376,DATE(2026,8,8),'Agenda 2026'!$M$2:$M$376,1)&gt;=2,CHAR(10)&amp;IFERROR(INDEX('Agenda 2026'!$B$2:$B$376,MATCH(DATE(2026,8,8)*10+2,'Agenda 2026'!$S$2:$S$376,0)),""),"")&amp;IF(COUNTIFS('Agenda 2026'!$Q$2:$Q$376,DATE(2026,8,8),'Agenda 2026'!$M$2:$M$376,1)&gt;=3,CHAR(10)&amp;IFERROR(INDEX('Agenda 2026'!$B$2:$B$376,MATCH(DATE(2026,8,8)*10+3,'Agenda 2026'!$S$2:$S$376,0)),""),"")&amp;IF(COUNTIFS('Agenda 2026'!$Q$2:$Q$376,DATE(2026,8,8),'Agenda 2026'!$M$2:$M$376,1)&gt;=4,CHAR(10)&amp;IFERROR(INDEX('Agenda 2026'!$B$2:$B$376,MATCH(DATE(2026,8,8)*10+4,'Agenda 2026'!$S$2:$S$376,0)),""),"")&amp;IF(COUNTIFS('Agenda 2026'!$Q$2:$Q$376,DATE(2026,8,8),'Agenda 2026'!$M$2:$M$376,1)&gt;=5,CHAR(10)&amp;IFERROR(INDEX('Agenda 2026'!$B$2:$B$376,MATCH(DATE(2026,8,8)*10+5,'Agenda 2026'!$S$2:$S$376,0)),""),"")&amp;IF(COUNTIFS('Agenda 2026'!$Q$2:$Q$376,DATE(2026,8,8),'Agenda 2026'!$M$2:$M$376,1)&gt;=6,CHAR(10)&amp;IFERROR(INDEX('Agenda 2026'!$B$2:$B$376,MATCH(DATE(2026,8,8)*10+6,'Agenda 2026'!$S$2:$S$376,0)),""),"")&amp;IF(COUNTIFS('Agenda 2026'!$Q$2:$Q$376,DATE(2026,8,8),'Agenda 2026'!$M$2:$M$376,1)&gt;=7,CHAR(10)&amp;IFERROR(INDEX('Agenda 2026'!$B$2:$B$376,MATCH(DATE(2026,8,8)*10+7,'Agenda 2026'!$S$2:$S$376,0)),""),"")&amp;IF(COUNTIFS('Agenda 2026'!$Q$2:$Q$376,DATE(2026,8,8),'Agenda 2026'!$M$2:$M$376,1)&gt;=8,CHAR(10)&amp;IFERROR(INDEX('Agenda 2026'!$B$2:$B$376,MATCH(DATE(2026,8,8)*10+8,'Agenda 2026'!$S$2:$S$376,0)),""),"")&amp;IF(COUNTIFS('Agenda 2026'!$Q$2:$Q$376,DATE(2026,8,8),'Agenda 2026'!$M$2:$M$376,1)&gt;=9,CHAR(10)&amp;IFERROR(INDEX('Agenda 2026'!$B$2:$B$376,MATCH(DATE(2026,8,8)*10+9,'Agenda 2026'!$S$2:$S$376,0)),""),"")&amp;IF(COUNTIFS('Agenda 2026'!$Q$2:$Q$376,DATE(2026,8,8),'Agenda 2026'!$M$2:$M$376,1)&gt;=10,CHAR(10)&amp;IFERROR(INDEX('Agenda 2026'!$B$2:$B$376,MATCH(DATE(2026,8,8)*10+10,'Agenda 2026'!$S$2:$S$376,0)),""),"")&amp;IF(COUNTIFS('Agenda 2026'!$Q$2:$Q$376,DATE(2026,8,8),'Agenda 2026'!$M$2:$M$376,1)&gt;=11,CHAR(10)&amp;IFERROR(INDEX('Agenda 2026'!$B$2:$B$376,MATCH(DATE(2026,8,8)*10+11,'Agenda 2026'!$S$2:$S$376,0)),""),"")&amp;IF(COUNTIFS('Agenda 2026'!$Q$2:$Q$376,DATE(2026,8,8),'Agenda 2026'!$M$2:$M$376,1)&gt;=12,CHAR(10)&amp;IFERROR(INDEX('Agenda 2026'!$B$2:$B$376,MATCH(DATE(2026,8,8)*10+12,'Agenda 2026'!$S$2:$S$376,0)),""),"")</f>
        <v>8</v>
      </c>
      <c r="H74" s="58" t="str">
        <f t="array" ref="H74">9&amp;IF(COUNTIFS('Agenda 2026'!$Q$2:$Q$376,DATE(2026,8,9),'Agenda 2026'!$M$2:$M$376,1)&gt;=1,CHAR(10)&amp;IFERROR(INDEX('Agenda 2026'!$B$2:$B$376,MATCH(DATE(2026,8,9)*10+1,'Agenda 2026'!$S$2:$S$376,0)),""),"")&amp;IF(COUNTIFS('Agenda 2026'!$Q$2:$Q$376,DATE(2026,8,9),'Agenda 2026'!$M$2:$M$376,1)&gt;=2,CHAR(10)&amp;IFERROR(INDEX('Agenda 2026'!$B$2:$B$376,MATCH(DATE(2026,8,9)*10+2,'Agenda 2026'!$S$2:$S$376,0)),""),"")&amp;IF(COUNTIFS('Agenda 2026'!$Q$2:$Q$376,DATE(2026,8,9),'Agenda 2026'!$M$2:$M$376,1)&gt;=3,CHAR(10)&amp;IFERROR(INDEX('Agenda 2026'!$B$2:$B$376,MATCH(DATE(2026,8,9)*10+3,'Agenda 2026'!$S$2:$S$376,0)),""),"")&amp;IF(COUNTIFS('Agenda 2026'!$Q$2:$Q$376,DATE(2026,8,9),'Agenda 2026'!$M$2:$M$376,1)&gt;=4,CHAR(10)&amp;IFERROR(INDEX('Agenda 2026'!$B$2:$B$376,MATCH(DATE(2026,8,9)*10+4,'Agenda 2026'!$S$2:$S$376,0)),""),"")&amp;IF(COUNTIFS('Agenda 2026'!$Q$2:$Q$376,DATE(2026,8,9),'Agenda 2026'!$M$2:$M$376,1)&gt;=5,CHAR(10)&amp;IFERROR(INDEX('Agenda 2026'!$B$2:$B$376,MATCH(DATE(2026,8,9)*10+5,'Agenda 2026'!$S$2:$S$376,0)),""),"")&amp;IF(COUNTIFS('Agenda 2026'!$Q$2:$Q$376,DATE(2026,8,9),'Agenda 2026'!$M$2:$M$376,1)&gt;=6,CHAR(10)&amp;IFERROR(INDEX('Agenda 2026'!$B$2:$B$376,MATCH(DATE(2026,8,9)*10+6,'Agenda 2026'!$S$2:$S$376,0)),""),"")&amp;IF(COUNTIFS('Agenda 2026'!$Q$2:$Q$376,DATE(2026,8,9),'Agenda 2026'!$M$2:$M$376,1)&gt;=7,CHAR(10)&amp;IFERROR(INDEX('Agenda 2026'!$B$2:$B$376,MATCH(DATE(2026,8,9)*10+7,'Agenda 2026'!$S$2:$S$376,0)),""),"")&amp;IF(COUNTIFS('Agenda 2026'!$Q$2:$Q$376,DATE(2026,8,9),'Agenda 2026'!$M$2:$M$376,1)&gt;=8,CHAR(10)&amp;IFERROR(INDEX('Agenda 2026'!$B$2:$B$376,MATCH(DATE(2026,8,9)*10+8,'Agenda 2026'!$S$2:$S$376,0)),""),"")&amp;IF(COUNTIFS('Agenda 2026'!$Q$2:$Q$376,DATE(2026,8,9),'Agenda 2026'!$M$2:$M$376,1)&gt;=9,CHAR(10)&amp;IFERROR(INDEX('Agenda 2026'!$B$2:$B$376,MATCH(DATE(2026,8,9)*10+9,'Agenda 2026'!$S$2:$S$376,0)),""),"")&amp;IF(COUNTIFS('Agenda 2026'!$Q$2:$Q$376,DATE(2026,8,9),'Agenda 2026'!$M$2:$M$376,1)&gt;=10,CHAR(10)&amp;IFERROR(INDEX('Agenda 2026'!$B$2:$B$376,MATCH(DATE(2026,8,9)*10+10,'Agenda 2026'!$S$2:$S$376,0)),""),"")&amp;IF(COUNTIFS('Agenda 2026'!$Q$2:$Q$376,DATE(2026,8,9),'Agenda 2026'!$M$2:$M$376,1)&gt;=11,CHAR(10)&amp;IFERROR(INDEX('Agenda 2026'!$B$2:$B$376,MATCH(DATE(2026,8,9)*10+11,'Agenda 2026'!$S$2:$S$376,0)),""),"")&amp;IF(COUNTIFS('Agenda 2026'!$Q$2:$Q$376,DATE(2026,8,9),'Agenda 2026'!$M$2:$M$376,1)&gt;=12,CHAR(10)&amp;IFERROR(INDEX('Agenda 2026'!$B$2:$B$376,MATCH(DATE(2026,8,9)*10+12,'Agenda 2026'!$S$2:$S$376,0)),""),"")</f>
        <v>9</v>
      </c>
    </row>
    <row r="75" spans="1:8" ht="57.75" customHeight="1" x14ac:dyDescent="0.35">
      <c r="A75" s="17"/>
      <c r="B75" s="58" t="str">
        <f t="array" ref="B75">10&amp;IF(COUNTIFS('Agenda 2026'!$Q$2:$Q$376,DATE(2026,8,10),'Agenda 2026'!$M$2:$M$376,1)&gt;=1,CHAR(10)&amp;IFERROR(INDEX('Agenda 2026'!$B$2:$B$376,MATCH(DATE(2026,8,10)*10+1,'Agenda 2026'!$S$2:$S$376,0)),""),"")&amp;IF(COUNTIFS('Agenda 2026'!$Q$2:$Q$376,DATE(2026,8,10),'Agenda 2026'!$M$2:$M$376,1)&gt;=2,CHAR(10)&amp;IFERROR(INDEX('Agenda 2026'!$B$2:$B$376,MATCH(DATE(2026,8,10)*10+2,'Agenda 2026'!$S$2:$S$376,0)),""),"")&amp;IF(COUNTIFS('Agenda 2026'!$Q$2:$Q$376,DATE(2026,8,10),'Agenda 2026'!$M$2:$M$376,1)&gt;=3,CHAR(10)&amp;IFERROR(INDEX('Agenda 2026'!$B$2:$B$376,MATCH(DATE(2026,8,10)*10+3,'Agenda 2026'!$S$2:$S$376,0)),""),"")&amp;IF(COUNTIFS('Agenda 2026'!$Q$2:$Q$376,DATE(2026,8,10),'Agenda 2026'!$M$2:$M$376,1)&gt;=4,CHAR(10)&amp;IFERROR(INDEX('Agenda 2026'!$B$2:$B$376,MATCH(DATE(2026,8,10)*10+4,'Agenda 2026'!$S$2:$S$376,0)),""),"")&amp;IF(COUNTIFS('Agenda 2026'!$Q$2:$Q$376,DATE(2026,8,10),'Agenda 2026'!$M$2:$M$376,1)&gt;=5,CHAR(10)&amp;IFERROR(INDEX('Agenda 2026'!$B$2:$B$376,MATCH(DATE(2026,8,10)*10+5,'Agenda 2026'!$S$2:$S$376,0)),""),"")&amp;IF(COUNTIFS('Agenda 2026'!$Q$2:$Q$376,DATE(2026,8,10),'Agenda 2026'!$M$2:$M$376,1)&gt;=6,CHAR(10)&amp;IFERROR(INDEX('Agenda 2026'!$B$2:$B$376,MATCH(DATE(2026,8,10)*10+6,'Agenda 2026'!$S$2:$S$376,0)),""),"")&amp;IF(COUNTIFS('Agenda 2026'!$Q$2:$Q$376,DATE(2026,8,10),'Agenda 2026'!$M$2:$M$376,1)&gt;=7,CHAR(10)&amp;IFERROR(INDEX('Agenda 2026'!$B$2:$B$376,MATCH(DATE(2026,8,10)*10+7,'Agenda 2026'!$S$2:$S$376,0)),""),"")&amp;IF(COUNTIFS('Agenda 2026'!$Q$2:$Q$376,DATE(2026,8,10),'Agenda 2026'!$M$2:$M$376,1)&gt;=8,CHAR(10)&amp;IFERROR(INDEX('Agenda 2026'!$B$2:$B$376,MATCH(DATE(2026,8,10)*10+8,'Agenda 2026'!$S$2:$S$376,0)),""),"")&amp;IF(COUNTIFS('Agenda 2026'!$Q$2:$Q$376,DATE(2026,8,10),'Agenda 2026'!$M$2:$M$376,1)&gt;=9,CHAR(10)&amp;IFERROR(INDEX('Agenda 2026'!$B$2:$B$376,MATCH(DATE(2026,8,10)*10+9,'Agenda 2026'!$S$2:$S$376,0)),""),"")&amp;IF(COUNTIFS('Agenda 2026'!$Q$2:$Q$376,DATE(2026,8,10),'Agenda 2026'!$M$2:$M$376,1)&gt;=10,CHAR(10)&amp;IFERROR(INDEX('Agenda 2026'!$B$2:$B$376,MATCH(DATE(2026,8,10)*10+10,'Agenda 2026'!$S$2:$S$376,0)),""),"")&amp;IF(COUNTIFS('Agenda 2026'!$Q$2:$Q$376,DATE(2026,8,10),'Agenda 2026'!$M$2:$M$376,1)&gt;=11,CHAR(10)&amp;IFERROR(INDEX('Agenda 2026'!$B$2:$B$376,MATCH(DATE(2026,8,10)*10+11,'Agenda 2026'!$S$2:$S$376,0)),""),"")&amp;IF(COUNTIFS('Agenda 2026'!$Q$2:$Q$376,DATE(2026,8,10),'Agenda 2026'!$M$2:$M$376,1)&gt;=12,CHAR(10)&amp;IFERROR(INDEX('Agenda 2026'!$B$2:$B$376,MATCH(DATE(2026,8,10)*10+12,'Agenda 2026'!$S$2:$S$376,0)),""),"")</f>
        <v>10</v>
      </c>
      <c r="C75" s="58" t="str">
        <f t="array" ref="C75">11&amp;IF(COUNTIFS('Agenda 2026'!$Q$2:$Q$376,DATE(2026,8,11),'Agenda 2026'!$M$2:$M$376,1)&gt;=1,CHAR(10)&amp;IFERROR(INDEX('Agenda 2026'!$B$2:$B$376,MATCH(DATE(2026,8,11)*10+1,'Agenda 2026'!$S$2:$S$376,0)),""),"")&amp;IF(COUNTIFS('Agenda 2026'!$Q$2:$Q$376,DATE(2026,8,11),'Agenda 2026'!$M$2:$M$376,1)&gt;=2,CHAR(10)&amp;IFERROR(INDEX('Agenda 2026'!$B$2:$B$376,MATCH(DATE(2026,8,11)*10+2,'Agenda 2026'!$S$2:$S$376,0)),""),"")&amp;IF(COUNTIFS('Agenda 2026'!$Q$2:$Q$376,DATE(2026,8,11),'Agenda 2026'!$M$2:$M$376,1)&gt;=3,CHAR(10)&amp;IFERROR(INDEX('Agenda 2026'!$B$2:$B$376,MATCH(DATE(2026,8,11)*10+3,'Agenda 2026'!$S$2:$S$376,0)),""),"")&amp;IF(COUNTIFS('Agenda 2026'!$Q$2:$Q$376,DATE(2026,8,11),'Agenda 2026'!$M$2:$M$376,1)&gt;=4,CHAR(10)&amp;IFERROR(INDEX('Agenda 2026'!$B$2:$B$376,MATCH(DATE(2026,8,11)*10+4,'Agenda 2026'!$S$2:$S$376,0)),""),"")&amp;IF(COUNTIFS('Agenda 2026'!$Q$2:$Q$376,DATE(2026,8,11),'Agenda 2026'!$M$2:$M$376,1)&gt;=5,CHAR(10)&amp;IFERROR(INDEX('Agenda 2026'!$B$2:$B$376,MATCH(DATE(2026,8,11)*10+5,'Agenda 2026'!$S$2:$S$376,0)),""),"")&amp;IF(COUNTIFS('Agenda 2026'!$Q$2:$Q$376,DATE(2026,8,11),'Agenda 2026'!$M$2:$M$376,1)&gt;=6,CHAR(10)&amp;IFERROR(INDEX('Agenda 2026'!$B$2:$B$376,MATCH(DATE(2026,8,11)*10+6,'Agenda 2026'!$S$2:$S$376,0)),""),"")&amp;IF(COUNTIFS('Agenda 2026'!$Q$2:$Q$376,DATE(2026,8,11),'Agenda 2026'!$M$2:$M$376,1)&gt;=7,CHAR(10)&amp;IFERROR(INDEX('Agenda 2026'!$B$2:$B$376,MATCH(DATE(2026,8,11)*10+7,'Agenda 2026'!$S$2:$S$376,0)),""),"")&amp;IF(COUNTIFS('Agenda 2026'!$Q$2:$Q$376,DATE(2026,8,11),'Agenda 2026'!$M$2:$M$376,1)&gt;=8,CHAR(10)&amp;IFERROR(INDEX('Agenda 2026'!$B$2:$B$376,MATCH(DATE(2026,8,11)*10+8,'Agenda 2026'!$S$2:$S$376,0)),""),"")&amp;IF(COUNTIFS('Agenda 2026'!$Q$2:$Q$376,DATE(2026,8,11),'Agenda 2026'!$M$2:$M$376,1)&gt;=9,CHAR(10)&amp;IFERROR(INDEX('Agenda 2026'!$B$2:$B$376,MATCH(DATE(2026,8,11)*10+9,'Agenda 2026'!$S$2:$S$376,0)),""),"")&amp;IF(COUNTIFS('Agenda 2026'!$Q$2:$Q$376,DATE(2026,8,11),'Agenda 2026'!$M$2:$M$376,1)&gt;=10,CHAR(10)&amp;IFERROR(INDEX('Agenda 2026'!$B$2:$B$376,MATCH(DATE(2026,8,11)*10+10,'Agenda 2026'!$S$2:$S$376,0)),""),"")&amp;IF(COUNTIFS('Agenda 2026'!$Q$2:$Q$376,DATE(2026,8,11),'Agenda 2026'!$M$2:$M$376,1)&gt;=11,CHAR(10)&amp;IFERROR(INDEX('Agenda 2026'!$B$2:$B$376,MATCH(DATE(2026,8,11)*10+11,'Agenda 2026'!$S$2:$S$376,0)),""),"")&amp;IF(COUNTIFS('Agenda 2026'!$Q$2:$Q$376,DATE(2026,8,11),'Agenda 2026'!$M$2:$M$376,1)&gt;=12,CHAR(10)&amp;IFERROR(INDEX('Agenda 2026'!$B$2:$B$376,MATCH(DATE(2026,8,11)*10+12,'Agenda 2026'!$S$2:$S$376,0)),""),"")</f>
        <v>11</v>
      </c>
      <c r="D75" s="58" t="str">
        <f t="array" ref="D75">12&amp;IF(COUNTIFS('Agenda 2026'!$Q$2:$Q$376,DATE(2026,8,12),'Agenda 2026'!$M$2:$M$376,1)&gt;=1,CHAR(10)&amp;IFERROR(INDEX('Agenda 2026'!$B$2:$B$376,MATCH(DATE(2026,8,12)*10+1,'Agenda 2026'!$S$2:$S$376,0)),""),"")&amp;IF(COUNTIFS('Agenda 2026'!$Q$2:$Q$376,DATE(2026,8,12),'Agenda 2026'!$M$2:$M$376,1)&gt;=2,CHAR(10)&amp;IFERROR(INDEX('Agenda 2026'!$B$2:$B$376,MATCH(DATE(2026,8,12)*10+2,'Agenda 2026'!$S$2:$S$376,0)),""),"")&amp;IF(COUNTIFS('Agenda 2026'!$Q$2:$Q$376,DATE(2026,8,12),'Agenda 2026'!$M$2:$M$376,1)&gt;=3,CHAR(10)&amp;IFERROR(INDEX('Agenda 2026'!$B$2:$B$376,MATCH(DATE(2026,8,12)*10+3,'Agenda 2026'!$S$2:$S$376,0)),""),"")&amp;IF(COUNTIFS('Agenda 2026'!$Q$2:$Q$376,DATE(2026,8,12),'Agenda 2026'!$M$2:$M$376,1)&gt;=4,CHAR(10)&amp;IFERROR(INDEX('Agenda 2026'!$B$2:$B$376,MATCH(DATE(2026,8,12)*10+4,'Agenda 2026'!$S$2:$S$376,0)),""),"")&amp;IF(COUNTIFS('Agenda 2026'!$Q$2:$Q$376,DATE(2026,8,12),'Agenda 2026'!$M$2:$M$376,1)&gt;=5,CHAR(10)&amp;IFERROR(INDEX('Agenda 2026'!$B$2:$B$376,MATCH(DATE(2026,8,12)*10+5,'Agenda 2026'!$S$2:$S$376,0)),""),"")&amp;IF(COUNTIFS('Agenda 2026'!$Q$2:$Q$376,DATE(2026,8,12),'Agenda 2026'!$M$2:$M$376,1)&gt;=6,CHAR(10)&amp;IFERROR(INDEX('Agenda 2026'!$B$2:$B$376,MATCH(DATE(2026,8,12)*10+6,'Agenda 2026'!$S$2:$S$376,0)),""),"")&amp;IF(COUNTIFS('Agenda 2026'!$Q$2:$Q$376,DATE(2026,8,12),'Agenda 2026'!$M$2:$M$376,1)&gt;=7,CHAR(10)&amp;IFERROR(INDEX('Agenda 2026'!$B$2:$B$376,MATCH(DATE(2026,8,12)*10+7,'Agenda 2026'!$S$2:$S$376,0)),""),"")&amp;IF(COUNTIFS('Agenda 2026'!$Q$2:$Q$376,DATE(2026,8,12),'Agenda 2026'!$M$2:$M$376,1)&gt;=8,CHAR(10)&amp;IFERROR(INDEX('Agenda 2026'!$B$2:$B$376,MATCH(DATE(2026,8,12)*10+8,'Agenda 2026'!$S$2:$S$376,0)),""),"")&amp;IF(COUNTIFS('Agenda 2026'!$Q$2:$Q$376,DATE(2026,8,12),'Agenda 2026'!$M$2:$M$376,1)&gt;=9,CHAR(10)&amp;IFERROR(INDEX('Agenda 2026'!$B$2:$B$376,MATCH(DATE(2026,8,12)*10+9,'Agenda 2026'!$S$2:$S$376,0)),""),"")&amp;IF(COUNTIFS('Agenda 2026'!$Q$2:$Q$376,DATE(2026,8,12),'Agenda 2026'!$M$2:$M$376,1)&gt;=10,CHAR(10)&amp;IFERROR(INDEX('Agenda 2026'!$B$2:$B$376,MATCH(DATE(2026,8,12)*10+10,'Agenda 2026'!$S$2:$S$376,0)),""),"")&amp;IF(COUNTIFS('Agenda 2026'!$Q$2:$Q$376,DATE(2026,8,12),'Agenda 2026'!$M$2:$M$376,1)&gt;=11,CHAR(10)&amp;IFERROR(INDEX('Agenda 2026'!$B$2:$B$376,MATCH(DATE(2026,8,12)*10+11,'Agenda 2026'!$S$2:$S$376,0)),""),"")&amp;IF(COUNTIFS('Agenda 2026'!$Q$2:$Q$376,DATE(2026,8,12),'Agenda 2026'!$M$2:$M$376,1)&gt;=12,CHAR(10)&amp;IFERROR(INDEX('Agenda 2026'!$B$2:$B$376,MATCH(DATE(2026,8,12)*10+12,'Agenda 2026'!$S$2:$S$376,0)),""),"")</f>
        <v>12</v>
      </c>
      <c r="E75" s="58" t="str">
        <f t="array" ref="E75">13&amp;IF(COUNTIFS('Agenda 2026'!$Q$2:$Q$376,DATE(2026,8,13),'Agenda 2026'!$M$2:$M$376,1)&gt;=1,CHAR(10)&amp;IFERROR(INDEX('Agenda 2026'!$B$2:$B$376,MATCH(DATE(2026,8,13)*10+1,'Agenda 2026'!$S$2:$S$376,0)),""),"")&amp;IF(COUNTIFS('Agenda 2026'!$Q$2:$Q$376,DATE(2026,8,13),'Agenda 2026'!$M$2:$M$376,1)&gt;=2,CHAR(10)&amp;IFERROR(INDEX('Agenda 2026'!$B$2:$B$376,MATCH(DATE(2026,8,13)*10+2,'Agenda 2026'!$S$2:$S$376,0)),""),"")&amp;IF(COUNTIFS('Agenda 2026'!$Q$2:$Q$376,DATE(2026,8,13),'Agenda 2026'!$M$2:$M$376,1)&gt;=3,CHAR(10)&amp;IFERROR(INDEX('Agenda 2026'!$B$2:$B$376,MATCH(DATE(2026,8,13)*10+3,'Agenda 2026'!$S$2:$S$376,0)),""),"")&amp;IF(COUNTIFS('Agenda 2026'!$Q$2:$Q$376,DATE(2026,8,13),'Agenda 2026'!$M$2:$M$376,1)&gt;=4,CHAR(10)&amp;IFERROR(INDEX('Agenda 2026'!$B$2:$B$376,MATCH(DATE(2026,8,13)*10+4,'Agenda 2026'!$S$2:$S$376,0)),""),"")&amp;IF(COUNTIFS('Agenda 2026'!$Q$2:$Q$376,DATE(2026,8,13),'Agenda 2026'!$M$2:$M$376,1)&gt;=5,CHAR(10)&amp;IFERROR(INDEX('Agenda 2026'!$B$2:$B$376,MATCH(DATE(2026,8,13)*10+5,'Agenda 2026'!$S$2:$S$376,0)),""),"")&amp;IF(COUNTIFS('Agenda 2026'!$Q$2:$Q$376,DATE(2026,8,13),'Agenda 2026'!$M$2:$M$376,1)&gt;=6,CHAR(10)&amp;IFERROR(INDEX('Agenda 2026'!$B$2:$B$376,MATCH(DATE(2026,8,13)*10+6,'Agenda 2026'!$S$2:$S$376,0)),""),"")&amp;IF(COUNTIFS('Agenda 2026'!$Q$2:$Q$376,DATE(2026,8,13),'Agenda 2026'!$M$2:$M$376,1)&gt;=7,CHAR(10)&amp;IFERROR(INDEX('Agenda 2026'!$B$2:$B$376,MATCH(DATE(2026,8,13)*10+7,'Agenda 2026'!$S$2:$S$376,0)),""),"")&amp;IF(COUNTIFS('Agenda 2026'!$Q$2:$Q$376,DATE(2026,8,13),'Agenda 2026'!$M$2:$M$376,1)&gt;=8,CHAR(10)&amp;IFERROR(INDEX('Agenda 2026'!$B$2:$B$376,MATCH(DATE(2026,8,13)*10+8,'Agenda 2026'!$S$2:$S$376,0)),""),"")&amp;IF(COUNTIFS('Agenda 2026'!$Q$2:$Q$376,DATE(2026,8,13),'Agenda 2026'!$M$2:$M$376,1)&gt;=9,CHAR(10)&amp;IFERROR(INDEX('Agenda 2026'!$B$2:$B$376,MATCH(DATE(2026,8,13)*10+9,'Agenda 2026'!$S$2:$S$376,0)),""),"")&amp;IF(COUNTIFS('Agenda 2026'!$Q$2:$Q$376,DATE(2026,8,13),'Agenda 2026'!$M$2:$M$376,1)&gt;=10,CHAR(10)&amp;IFERROR(INDEX('Agenda 2026'!$B$2:$B$376,MATCH(DATE(2026,8,13)*10+10,'Agenda 2026'!$S$2:$S$376,0)),""),"")&amp;IF(COUNTIFS('Agenda 2026'!$Q$2:$Q$376,DATE(2026,8,13),'Agenda 2026'!$M$2:$M$376,1)&gt;=11,CHAR(10)&amp;IFERROR(INDEX('Agenda 2026'!$B$2:$B$376,MATCH(DATE(2026,8,13)*10+11,'Agenda 2026'!$S$2:$S$376,0)),""),"")&amp;IF(COUNTIFS('Agenda 2026'!$Q$2:$Q$376,DATE(2026,8,13),'Agenda 2026'!$M$2:$M$376,1)&gt;=12,CHAR(10)&amp;IFERROR(INDEX('Agenda 2026'!$B$2:$B$376,MATCH(DATE(2026,8,13)*10+12,'Agenda 2026'!$S$2:$S$376,0)),""),"")</f>
        <v>13</v>
      </c>
      <c r="F75" s="58" t="str">
        <f t="array" ref="F75">14&amp;IF(COUNTIFS('Agenda 2026'!$Q$2:$Q$376,DATE(2026,8,14),'Agenda 2026'!$M$2:$M$376,1)&gt;=1,CHAR(10)&amp;IFERROR(INDEX('Agenda 2026'!$B$2:$B$376,MATCH(DATE(2026,8,14)*10+1,'Agenda 2026'!$S$2:$S$376,0)),""),"")&amp;IF(COUNTIFS('Agenda 2026'!$Q$2:$Q$376,DATE(2026,8,14),'Agenda 2026'!$M$2:$M$376,1)&gt;=2,CHAR(10)&amp;IFERROR(INDEX('Agenda 2026'!$B$2:$B$376,MATCH(DATE(2026,8,14)*10+2,'Agenda 2026'!$S$2:$S$376,0)),""),"")&amp;IF(COUNTIFS('Agenda 2026'!$Q$2:$Q$376,DATE(2026,8,14),'Agenda 2026'!$M$2:$M$376,1)&gt;=3,CHAR(10)&amp;IFERROR(INDEX('Agenda 2026'!$B$2:$B$376,MATCH(DATE(2026,8,14)*10+3,'Agenda 2026'!$S$2:$S$376,0)),""),"")&amp;IF(COUNTIFS('Agenda 2026'!$Q$2:$Q$376,DATE(2026,8,14),'Agenda 2026'!$M$2:$M$376,1)&gt;=4,CHAR(10)&amp;IFERROR(INDEX('Agenda 2026'!$B$2:$B$376,MATCH(DATE(2026,8,14)*10+4,'Agenda 2026'!$S$2:$S$376,0)),""),"")&amp;IF(COUNTIFS('Agenda 2026'!$Q$2:$Q$376,DATE(2026,8,14),'Agenda 2026'!$M$2:$M$376,1)&gt;=5,CHAR(10)&amp;IFERROR(INDEX('Agenda 2026'!$B$2:$B$376,MATCH(DATE(2026,8,14)*10+5,'Agenda 2026'!$S$2:$S$376,0)),""),"")&amp;IF(COUNTIFS('Agenda 2026'!$Q$2:$Q$376,DATE(2026,8,14),'Agenda 2026'!$M$2:$M$376,1)&gt;=6,CHAR(10)&amp;IFERROR(INDEX('Agenda 2026'!$B$2:$B$376,MATCH(DATE(2026,8,14)*10+6,'Agenda 2026'!$S$2:$S$376,0)),""),"")&amp;IF(COUNTIFS('Agenda 2026'!$Q$2:$Q$376,DATE(2026,8,14),'Agenda 2026'!$M$2:$M$376,1)&gt;=7,CHAR(10)&amp;IFERROR(INDEX('Agenda 2026'!$B$2:$B$376,MATCH(DATE(2026,8,14)*10+7,'Agenda 2026'!$S$2:$S$376,0)),""),"")&amp;IF(COUNTIFS('Agenda 2026'!$Q$2:$Q$376,DATE(2026,8,14),'Agenda 2026'!$M$2:$M$376,1)&gt;=8,CHAR(10)&amp;IFERROR(INDEX('Agenda 2026'!$B$2:$B$376,MATCH(DATE(2026,8,14)*10+8,'Agenda 2026'!$S$2:$S$376,0)),""),"")&amp;IF(COUNTIFS('Agenda 2026'!$Q$2:$Q$376,DATE(2026,8,14),'Agenda 2026'!$M$2:$M$376,1)&gt;=9,CHAR(10)&amp;IFERROR(INDEX('Agenda 2026'!$B$2:$B$376,MATCH(DATE(2026,8,14)*10+9,'Agenda 2026'!$S$2:$S$376,0)),""),"")&amp;IF(COUNTIFS('Agenda 2026'!$Q$2:$Q$376,DATE(2026,8,14),'Agenda 2026'!$M$2:$M$376,1)&gt;=10,CHAR(10)&amp;IFERROR(INDEX('Agenda 2026'!$B$2:$B$376,MATCH(DATE(2026,8,14)*10+10,'Agenda 2026'!$S$2:$S$376,0)),""),"")&amp;IF(COUNTIFS('Agenda 2026'!$Q$2:$Q$376,DATE(2026,8,14),'Agenda 2026'!$M$2:$M$376,1)&gt;=11,CHAR(10)&amp;IFERROR(INDEX('Agenda 2026'!$B$2:$B$376,MATCH(DATE(2026,8,14)*10+11,'Agenda 2026'!$S$2:$S$376,0)),""),"")&amp;IF(COUNTIFS('Agenda 2026'!$Q$2:$Q$376,DATE(2026,8,14),'Agenda 2026'!$M$2:$M$376,1)&gt;=12,CHAR(10)&amp;IFERROR(INDEX('Agenda 2026'!$B$2:$B$376,MATCH(DATE(2026,8,14)*10+12,'Agenda 2026'!$S$2:$S$376,0)),""),"")</f>
        <v>14</v>
      </c>
      <c r="G75" s="58" t="str">
        <f t="array" ref="G75">15&amp;IF(COUNTIFS('Agenda 2026'!$Q$2:$Q$376,DATE(2026,8,15),'Agenda 2026'!$M$2:$M$376,1)&gt;=1,CHAR(10)&amp;IFERROR(INDEX('Agenda 2026'!$B$2:$B$376,MATCH(DATE(2026,8,15)*10+1,'Agenda 2026'!$S$2:$S$376,0)),""),"")&amp;IF(COUNTIFS('Agenda 2026'!$Q$2:$Q$376,DATE(2026,8,15),'Agenda 2026'!$M$2:$M$376,1)&gt;=2,CHAR(10)&amp;IFERROR(INDEX('Agenda 2026'!$B$2:$B$376,MATCH(DATE(2026,8,15)*10+2,'Agenda 2026'!$S$2:$S$376,0)),""),"")&amp;IF(COUNTIFS('Agenda 2026'!$Q$2:$Q$376,DATE(2026,8,15),'Agenda 2026'!$M$2:$M$376,1)&gt;=3,CHAR(10)&amp;IFERROR(INDEX('Agenda 2026'!$B$2:$B$376,MATCH(DATE(2026,8,15)*10+3,'Agenda 2026'!$S$2:$S$376,0)),""),"")&amp;IF(COUNTIFS('Agenda 2026'!$Q$2:$Q$376,DATE(2026,8,15),'Agenda 2026'!$M$2:$M$376,1)&gt;=4,CHAR(10)&amp;IFERROR(INDEX('Agenda 2026'!$B$2:$B$376,MATCH(DATE(2026,8,15)*10+4,'Agenda 2026'!$S$2:$S$376,0)),""),"")&amp;IF(COUNTIFS('Agenda 2026'!$Q$2:$Q$376,DATE(2026,8,15),'Agenda 2026'!$M$2:$M$376,1)&gt;=5,CHAR(10)&amp;IFERROR(INDEX('Agenda 2026'!$B$2:$B$376,MATCH(DATE(2026,8,15)*10+5,'Agenda 2026'!$S$2:$S$376,0)),""),"")&amp;IF(COUNTIFS('Agenda 2026'!$Q$2:$Q$376,DATE(2026,8,15),'Agenda 2026'!$M$2:$M$376,1)&gt;=6,CHAR(10)&amp;IFERROR(INDEX('Agenda 2026'!$B$2:$B$376,MATCH(DATE(2026,8,15)*10+6,'Agenda 2026'!$S$2:$S$376,0)),""),"")&amp;IF(COUNTIFS('Agenda 2026'!$Q$2:$Q$376,DATE(2026,8,15),'Agenda 2026'!$M$2:$M$376,1)&gt;=7,CHAR(10)&amp;IFERROR(INDEX('Agenda 2026'!$B$2:$B$376,MATCH(DATE(2026,8,15)*10+7,'Agenda 2026'!$S$2:$S$376,0)),""),"")&amp;IF(COUNTIFS('Agenda 2026'!$Q$2:$Q$376,DATE(2026,8,15),'Agenda 2026'!$M$2:$M$376,1)&gt;=8,CHAR(10)&amp;IFERROR(INDEX('Agenda 2026'!$B$2:$B$376,MATCH(DATE(2026,8,15)*10+8,'Agenda 2026'!$S$2:$S$376,0)),""),"")&amp;IF(COUNTIFS('Agenda 2026'!$Q$2:$Q$376,DATE(2026,8,15),'Agenda 2026'!$M$2:$M$376,1)&gt;=9,CHAR(10)&amp;IFERROR(INDEX('Agenda 2026'!$B$2:$B$376,MATCH(DATE(2026,8,15)*10+9,'Agenda 2026'!$S$2:$S$376,0)),""),"")&amp;IF(COUNTIFS('Agenda 2026'!$Q$2:$Q$376,DATE(2026,8,15),'Agenda 2026'!$M$2:$M$376,1)&gt;=10,CHAR(10)&amp;IFERROR(INDEX('Agenda 2026'!$B$2:$B$376,MATCH(DATE(2026,8,15)*10+10,'Agenda 2026'!$S$2:$S$376,0)),""),"")&amp;IF(COUNTIFS('Agenda 2026'!$Q$2:$Q$376,DATE(2026,8,15),'Agenda 2026'!$M$2:$M$376,1)&gt;=11,CHAR(10)&amp;IFERROR(INDEX('Agenda 2026'!$B$2:$B$376,MATCH(DATE(2026,8,15)*10+11,'Agenda 2026'!$S$2:$S$376,0)),""),"")&amp;IF(COUNTIFS('Agenda 2026'!$Q$2:$Q$376,DATE(2026,8,15),'Agenda 2026'!$M$2:$M$376,1)&gt;=12,CHAR(10)&amp;IFERROR(INDEX('Agenda 2026'!$B$2:$B$376,MATCH(DATE(2026,8,15)*10+12,'Agenda 2026'!$S$2:$S$376,0)),""),"")</f>
        <v>15</v>
      </c>
      <c r="H75" s="58" t="str">
        <f t="array" ref="H75">16&amp;IF(COUNTIFS('Agenda 2026'!$Q$2:$Q$376,DATE(2026,8,16),'Agenda 2026'!$M$2:$M$376,1)&gt;=1,CHAR(10)&amp;IFERROR(INDEX('Agenda 2026'!$B$2:$B$376,MATCH(DATE(2026,8,16)*10+1,'Agenda 2026'!$S$2:$S$376,0)),""),"")&amp;IF(COUNTIFS('Agenda 2026'!$Q$2:$Q$376,DATE(2026,8,16),'Agenda 2026'!$M$2:$M$376,1)&gt;=2,CHAR(10)&amp;IFERROR(INDEX('Agenda 2026'!$B$2:$B$376,MATCH(DATE(2026,8,16)*10+2,'Agenda 2026'!$S$2:$S$376,0)),""),"")&amp;IF(COUNTIFS('Agenda 2026'!$Q$2:$Q$376,DATE(2026,8,16),'Agenda 2026'!$M$2:$M$376,1)&gt;=3,CHAR(10)&amp;IFERROR(INDEX('Agenda 2026'!$B$2:$B$376,MATCH(DATE(2026,8,16)*10+3,'Agenda 2026'!$S$2:$S$376,0)),""),"")&amp;IF(COUNTIFS('Agenda 2026'!$Q$2:$Q$376,DATE(2026,8,16),'Agenda 2026'!$M$2:$M$376,1)&gt;=4,CHAR(10)&amp;IFERROR(INDEX('Agenda 2026'!$B$2:$B$376,MATCH(DATE(2026,8,16)*10+4,'Agenda 2026'!$S$2:$S$376,0)),""),"")&amp;IF(COUNTIFS('Agenda 2026'!$Q$2:$Q$376,DATE(2026,8,16),'Agenda 2026'!$M$2:$M$376,1)&gt;=5,CHAR(10)&amp;IFERROR(INDEX('Agenda 2026'!$B$2:$B$376,MATCH(DATE(2026,8,16)*10+5,'Agenda 2026'!$S$2:$S$376,0)),""),"")&amp;IF(COUNTIFS('Agenda 2026'!$Q$2:$Q$376,DATE(2026,8,16),'Agenda 2026'!$M$2:$M$376,1)&gt;=6,CHAR(10)&amp;IFERROR(INDEX('Agenda 2026'!$B$2:$B$376,MATCH(DATE(2026,8,16)*10+6,'Agenda 2026'!$S$2:$S$376,0)),""),"")&amp;IF(COUNTIFS('Agenda 2026'!$Q$2:$Q$376,DATE(2026,8,16),'Agenda 2026'!$M$2:$M$376,1)&gt;=7,CHAR(10)&amp;IFERROR(INDEX('Agenda 2026'!$B$2:$B$376,MATCH(DATE(2026,8,16)*10+7,'Agenda 2026'!$S$2:$S$376,0)),""),"")&amp;IF(COUNTIFS('Agenda 2026'!$Q$2:$Q$376,DATE(2026,8,16),'Agenda 2026'!$M$2:$M$376,1)&gt;=8,CHAR(10)&amp;IFERROR(INDEX('Agenda 2026'!$B$2:$B$376,MATCH(DATE(2026,8,16)*10+8,'Agenda 2026'!$S$2:$S$376,0)),""),"")&amp;IF(COUNTIFS('Agenda 2026'!$Q$2:$Q$376,DATE(2026,8,16),'Agenda 2026'!$M$2:$M$376,1)&gt;=9,CHAR(10)&amp;IFERROR(INDEX('Agenda 2026'!$B$2:$B$376,MATCH(DATE(2026,8,16)*10+9,'Agenda 2026'!$S$2:$S$376,0)),""),"")&amp;IF(COUNTIFS('Agenda 2026'!$Q$2:$Q$376,DATE(2026,8,16),'Agenda 2026'!$M$2:$M$376,1)&gt;=10,CHAR(10)&amp;IFERROR(INDEX('Agenda 2026'!$B$2:$B$376,MATCH(DATE(2026,8,16)*10+10,'Agenda 2026'!$S$2:$S$376,0)),""),"")&amp;IF(COUNTIFS('Agenda 2026'!$Q$2:$Q$376,DATE(2026,8,16),'Agenda 2026'!$M$2:$M$376,1)&gt;=11,CHAR(10)&amp;IFERROR(INDEX('Agenda 2026'!$B$2:$B$376,MATCH(DATE(2026,8,16)*10+11,'Agenda 2026'!$S$2:$S$376,0)),""),"")&amp;IF(COUNTIFS('Agenda 2026'!$Q$2:$Q$376,DATE(2026,8,16),'Agenda 2026'!$M$2:$M$376,1)&gt;=12,CHAR(10)&amp;IFERROR(INDEX('Agenda 2026'!$B$2:$B$376,MATCH(DATE(2026,8,16)*10+12,'Agenda 2026'!$S$2:$S$376,0)),""),"")</f>
        <v>16</v>
      </c>
    </row>
    <row r="76" spans="1:8" ht="69.75" customHeight="1" x14ac:dyDescent="0.35">
      <c r="A76" s="17"/>
      <c r="B76" s="58" t="str">
        <f t="array" ref="B76">17&amp;IF(COUNTIFS('Agenda 2026'!$Q$2:$Q$376,DATE(2026,8,17),'Agenda 2026'!$M$2:$M$376,1)&gt;=1,CHAR(10)&amp;IFERROR(INDEX('Agenda 2026'!$B$2:$B$376,MATCH(DATE(2026,8,17)*10+1,'Agenda 2026'!$S$2:$S$376,0)),""),"")&amp;IF(COUNTIFS('Agenda 2026'!$Q$2:$Q$376,DATE(2026,8,17),'Agenda 2026'!$M$2:$M$376,1)&gt;=2,CHAR(10)&amp;IFERROR(INDEX('Agenda 2026'!$B$2:$B$376,MATCH(DATE(2026,8,17)*10+2,'Agenda 2026'!$S$2:$S$376,0)),""),"")&amp;IF(COUNTIFS('Agenda 2026'!$Q$2:$Q$376,DATE(2026,8,17),'Agenda 2026'!$M$2:$M$376,1)&gt;=3,CHAR(10)&amp;IFERROR(INDEX('Agenda 2026'!$B$2:$B$376,MATCH(DATE(2026,8,17)*10+3,'Agenda 2026'!$S$2:$S$376,0)),""),"")&amp;IF(COUNTIFS('Agenda 2026'!$Q$2:$Q$376,DATE(2026,8,17),'Agenda 2026'!$M$2:$M$376,1)&gt;=4,CHAR(10)&amp;IFERROR(INDEX('Agenda 2026'!$B$2:$B$376,MATCH(DATE(2026,8,17)*10+4,'Agenda 2026'!$S$2:$S$376,0)),""),"")&amp;IF(COUNTIFS('Agenda 2026'!$Q$2:$Q$376,DATE(2026,8,17),'Agenda 2026'!$M$2:$M$376,1)&gt;=5,CHAR(10)&amp;IFERROR(INDEX('Agenda 2026'!$B$2:$B$376,MATCH(DATE(2026,8,17)*10+5,'Agenda 2026'!$S$2:$S$376,0)),""),"")&amp;IF(COUNTIFS('Agenda 2026'!$Q$2:$Q$376,DATE(2026,8,17),'Agenda 2026'!$M$2:$M$376,1)&gt;=6,CHAR(10)&amp;IFERROR(INDEX('Agenda 2026'!$B$2:$B$376,MATCH(DATE(2026,8,17)*10+6,'Agenda 2026'!$S$2:$S$376,0)),""),"")&amp;IF(COUNTIFS('Agenda 2026'!$Q$2:$Q$376,DATE(2026,8,17),'Agenda 2026'!$M$2:$M$376,1)&gt;=7,CHAR(10)&amp;IFERROR(INDEX('Agenda 2026'!$B$2:$B$376,MATCH(DATE(2026,8,17)*10+7,'Agenda 2026'!$S$2:$S$376,0)),""),"")&amp;IF(COUNTIFS('Agenda 2026'!$Q$2:$Q$376,DATE(2026,8,17),'Agenda 2026'!$M$2:$M$376,1)&gt;=8,CHAR(10)&amp;IFERROR(INDEX('Agenda 2026'!$B$2:$B$376,MATCH(DATE(2026,8,17)*10+8,'Agenda 2026'!$S$2:$S$376,0)),""),"")&amp;IF(COUNTIFS('Agenda 2026'!$Q$2:$Q$376,DATE(2026,8,17),'Agenda 2026'!$M$2:$M$376,1)&gt;=9,CHAR(10)&amp;IFERROR(INDEX('Agenda 2026'!$B$2:$B$376,MATCH(DATE(2026,8,17)*10+9,'Agenda 2026'!$S$2:$S$376,0)),""),"")&amp;IF(COUNTIFS('Agenda 2026'!$Q$2:$Q$376,DATE(2026,8,17),'Agenda 2026'!$M$2:$M$376,1)&gt;=10,CHAR(10)&amp;IFERROR(INDEX('Agenda 2026'!$B$2:$B$376,MATCH(DATE(2026,8,17)*10+10,'Agenda 2026'!$S$2:$S$376,0)),""),"")&amp;IF(COUNTIFS('Agenda 2026'!$Q$2:$Q$376,DATE(2026,8,17),'Agenda 2026'!$M$2:$M$376,1)&gt;=11,CHAR(10)&amp;IFERROR(INDEX('Agenda 2026'!$B$2:$B$376,MATCH(DATE(2026,8,17)*10+11,'Agenda 2026'!$S$2:$S$376,0)),""),"")&amp;IF(COUNTIFS('Agenda 2026'!$Q$2:$Q$376,DATE(2026,8,17),'Agenda 2026'!$M$2:$M$376,1)&gt;=12,CHAR(10)&amp;IFERROR(INDEX('Agenda 2026'!$B$2:$B$376,MATCH(DATE(2026,8,17)*10+12,'Agenda 2026'!$S$2:$S$376,0)),""),"")</f>
        <v>17</v>
      </c>
      <c r="C76" s="58" t="str">
        <f t="array" ref="C76">18&amp;IF(COUNTIFS('Agenda 2026'!$Q$2:$Q$376,DATE(2026,8,18),'Agenda 2026'!$M$2:$M$376,1)&gt;=1,CHAR(10)&amp;IFERROR(INDEX('Agenda 2026'!$B$2:$B$376,MATCH(DATE(2026,8,18)*10+1,'Agenda 2026'!$S$2:$S$376,0)),""),"")&amp;IF(COUNTIFS('Agenda 2026'!$Q$2:$Q$376,DATE(2026,8,18),'Agenda 2026'!$M$2:$M$376,1)&gt;=2,CHAR(10)&amp;IFERROR(INDEX('Agenda 2026'!$B$2:$B$376,MATCH(DATE(2026,8,18)*10+2,'Agenda 2026'!$S$2:$S$376,0)),""),"")&amp;IF(COUNTIFS('Agenda 2026'!$Q$2:$Q$376,DATE(2026,8,18),'Agenda 2026'!$M$2:$M$376,1)&gt;=3,CHAR(10)&amp;IFERROR(INDEX('Agenda 2026'!$B$2:$B$376,MATCH(DATE(2026,8,18)*10+3,'Agenda 2026'!$S$2:$S$376,0)),""),"")&amp;IF(COUNTIFS('Agenda 2026'!$Q$2:$Q$376,DATE(2026,8,18),'Agenda 2026'!$M$2:$M$376,1)&gt;=4,CHAR(10)&amp;IFERROR(INDEX('Agenda 2026'!$B$2:$B$376,MATCH(DATE(2026,8,18)*10+4,'Agenda 2026'!$S$2:$S$376,0)),""),"")&amp;IF(COUNTIFS('Agenda 2026'!$Q$2:$Q$376,DATE(2026,8,18),'Agenda 2026'!$M$2:$M$376,1)&gt;=5,CHAR(10)&amp;IFERROR(INDEX('Agenda 2026'!$B$2:$B$376,MATCH(DATE(2026,8,18)*10+5,'Agenda 2026'!$S$2:$S$376,0)),""),"")&amp;IF(COUNTIFS('Agenda 2026'!$Q$2:$Q$376,DATE(2026,8,18),'Agenda 2026'!$M$2:$M$376,1)&gt;=6,CHAR(10)&amp;IFERROR(INDEX('Agenda 2026'!$B$2:$B$376,MATCH(DATE(2026,8,18)*10+6,'Agenda 2026'!$S$2:$S$376,0)),""),"")&amp;IF(COUNTIFS('Agenda 2026'!$Q$2:$Q$376,DATE(2026,8,18),'Agenda 2026'!$M$2:$M$376,1)&gt;=7,CHAR(10)&amp;IFERROR(INDEX('Agenda 2026'!$B$2:$B$376,MATCH(DATE(2026,8,18)*10+7,'Agenda 2026'!$S$2:$S$376,0)),""),"")&amp;IF(COUNTIFS('Agenda 2026'!$Q$2:$Q$376,DATE(2026,8,18),'Agenda 2026'!$M$2:$M$376,1)&gt;=8,CHAR(10)&amp;IFERROR(INDEX('Agenda 2026'!$B$2:$B$376,MATCH(DATE(2026,8,18)*10+8,'Agenda 2026'!$S$2:$S$376,0)),""),"")&amp;IF(COUNTIFS('Agenda 2026'!$Q$2:$Q$376,DATE(2026,8,18),'Agenda 2026'!$M$2:$M$376,1)&gt;=9,CHAR(10)&amp;IFERROR(INDEX('Agenda 2026'!$B$2:$B$376,MATCH(DATE(2026,8,18)*10+9,'Agenda 2026'!$S$2:$S$376,0)),""),"")&amp;IF(COUNTIFS('Agenda 2026'!$Q$2:$Q$376,DATE(2026,8,18),'Agenda 2026'!$M$2:$M$376,1)&gt;=10,CHAR(10)&amp;IFERROR(INDEX('Agenda 2026'!$B$2:$B$376,MATCH(DATE(2026,8,18)*10+10,'Agenda 2026'!$S$2:$S$376,0)),""),"")&amp;IF(COUNTIFS('Agenda 2026'!$Q$2:$Q$376,DATE(2026,8,18),'Agenda 2026'!$M$2:$M$376,1)&gt;=11,CHAR(10)&amp;IFERROR(INDEX('Agenda 2026'!$B$2:$B$376,MATCH(DATE(2026,8,18)*10+11,'Agenda 2026'!$S$2:$S$376,0)),""),"")&amp;IF(COUNTIFS('Agenda 2026'!$Q$2:$Q$376,DATE(2026,8,18),'Agenda 2026'!$M$2:$M$376,1)&gt;=12,CHAR(10)&amp;IFERROR(INDEX('Agenda 2026'!$B$2:$B$376,MATCH(DATE(2026,8,18)*10+12,'Agenda 2026'!$S$2:$S$376,0)),""),"")</f>
        <v>18</v>
      </c>
      <c r="D76" s="58" t="str">
        <f t="array" ref="D76">19&amp;IF(COUNTIFS('Agenda 2026'!$Q$2:$Q$376,DATE(2026,8,19),'Agenda 2026'!$M$2:$M$376,1)&gt;=1,CHAR(10)&amp;IFERROR(INDEX('Agenda 2026'!$B$2:$B$376,MATCH(DATE(2026,8,19)*10+1,'Agenda 2026'!$S$2:$S$376,0)),""),"")&amp;IF(COUNTIFS('Agenda 2026'!$Q$2:$Q$376,DATE(2026,8,19),'Agenda 2026'!$M$2:$M$376,1)&gt;=2,CHAR(10)&amp;IFERROR(INDEX('Agenda 2026'!$B$2:$B$376,MATCH(DATE(2026,8,19)*10+2,'Agenda 2026'!$S$2:$S$376,0)),""),"")&amp;IF(COUNTIFS('Agenda 2026'!$Q$2:$Q$376,DATE(2026,8,19),'Agenda 2026'!$M$2:$M$376,1)&gt;=3,CHAR(10)&amp;IFERROR(INDEX('Agenda 2026'!$B$2:$B$376,MATCH(DATE(2026,8,19)*10+3,'Agenda 2026'!$S$2:$S$376,0)),""),"")&amp;IF(COUNTIFS('Agenda 2026'!$Q$2:$Q$376,DATE(2026,8,19),'Agenda 2026'!$M$2:$M$376,1)&gt;=4,CHAR(10)&amp;IFERROR(INDEX('Agenda 2026'!$B$2:$B$376,MATCH(DATE(2026,8,19)*10+4,'Agenda 2026'!$S$2:$S$376,0)),""),"")&amp;IF(COUNTIFS('Agenda 2026'!$Q$2:$Q$376,DATE(2026,8,19),'Agenda 2026'!$M$2:$M$376,1)&gt;=5,CHAR(10)&amp;IFERROR(INDEX('Agenda 2026'!$B$2:$B$376,MATCH(DATE(2026,8,19)*10+5,'Agenda 2026'!$S$2:$S$376,0)),""),"")&amp;IF(COUNTIFS('Agenda 2026'!$Q$2:$Q$376,DATE(2026,8,19),'Agenda 2026'!$M$2:$M$376,1)&gt;=6,CHAR(10)&amp;IFERROR(INDEX('Agenda 2026'!$B$2:$B$376,MATCH(DATE(2026,8,19)*10+6,'Agenda 2026'!$S$2:$S$376,0)),""),"")&amp;IF(COUNTIFS('Agenda 2026'!$Q$2:$Q$376,DATE(2026,8,19),'Agenda 2026'!$M$2:$M$376,1)&gt;=7,CHAR(10)&amp;IFERROR(INDEX('Agenda 2026'!$B$2:$B$376,MATCH(DATE(2026,8,19)*10+7,'Agenda 2026'!$S$2:$S$376,0)),""),"")&amp;IF(COUNTIFS('Agenda 2026'!$Q$2:$Q$376,DATE(2026,8,19),'Agenda 2026'!$M$2:$M$376,1)&gt;=8,CHAR(10)&amp;IFERROR(INDEX('Agenda 2026'!$B$2:$B$376,MATCH(DATE(2026,8,19)*10+8,'Agenda 2026'!$S$2:$S$376,0)),""),"")&amp;IF(COUNTIFS('Agenda 2026'!$Q$2:$Q$376,DATE(2026,8,19),'Agenda 2026'!$M$2:$M$376,1)&gt;=9,CHAR(10)&amp;IFERROR(INDEX('Agenda 2026'!$B$2:$B$376,MATCH(DATE(2026,8,19)*10+9,'Agenda 2026'!$S$2:$S$376,0)),""),"")&amp;IF(COUNTIFS('Agenda 2026'!$Q$2:$Q$376,DATE(2026,8,19),'Agenda 2026'!$M$2:$M$376,1)&gt;=10,CHAR(10)&amp;IFERROR(INDEX('Agenda 2026'!$B$2:$B$376,MATCH(DATE(2026,8,19)*10+10,'Agenda 2026'!$S$2:$S$376,0)),""),"")&amp;IF(COUNTIFS('Agenda 2026'!$Q$2:$Q$376,DATE(2026,8,19),'Agenda 2026'!$M$2:$M$376,1)&gt;=11,CHAR(10)&amp;IFERROR(INDEX('Agenda 2026'!$B$2:$B$376,MATCH(DATE(2026,8,19)*10+11,'Agenda 2026'!$S$2:$S$376,0)),""),"")&amp;IF(COUNTIFS('Agenda 2026'!$Q$2:$Q$376,DATE(2026,8,19),'Agenda 2026'!$M$2:$M$376,1)&gt;=12,CHAR(10)&amp;IFERROR(INDEX('Agenda 2026'!$B$2:$B$376,MATCH(DATE(2026,8,19)*10+12,'Agenda 2026'!$S$2:$S$376,0)),""),"")</f>
        <v>19</v>
      </c>
      <c r="E76" s="58" t="str">
        <f t="array" ref="E76">20&amp;IF(COUNTIFS('Agenda 2026'!$Q$2:$Q$376,DATE(2026,8,20),'Agenda 2026'!$M$2:$M$376,1)&gt;=1,CHAR(10)&amp;IFERROR(INDEX('Agenda 2026'!$B$2:$B$376,MATCH(DATE(2026,8,20)*10+1,'Agenda 2026'!$S$2:$S$376,0)),""),"")&amp;IF(COUNTIFS('Agenda 2026'!$Q$2:$Q$376,DATE(2026,8,20),'Agenda 2026'!$M$2:$M$376,1)&gt;=2,CHAR(10)&amp;IFERROR(INDEX('Agenda 2026'!$B$2:$B$376,MATCH(DATE(2026,8,20)*10+2,'Agenda 2026'!$S$2:$S$376,0)),""),"")&amp;IF(COUNTIFS('Agenda 2026'!$Q$2:$Q$376,DATE(2026,8,20),'Agenda 2026'!$M$2:$M$376,1)&gt;=3,CHAR(10)&amp;IFERROR(INDEX('Agenda 2026'!$B$2:$B$376,MATCH(DATE(2026,8,20)*10+3,'Agenda 2026'!$S$2:$S$376,0)),""),"")&amp;IF(COUNTIFS('Agenda 2026'!$Q$2:$Q$376,DATE(2026,8,20),'Agenda 2026'!$M$2:$M$376,1)&gt;=4,CHAR(10)&amp;IFERROR(INDEX('Agenda 2026'!$B$2:$B$376,MATCH(DATE(2026,8,20)*10+4,'Agenda 2026'!$S$2:$S$376,0)),""),"")&amp;IF(COUNTIFS('Agenda 2026'!$Q$2:$Q$376,DATE(2026,8,20),'Agenda 2026'!$M$2:$M$376,1)&gt;=5,CHAR(10)&amp;IFERROR(INDEX('Agenda 2026'!$B$2:$B$376,MATCH(DATE(2026,8,20)*10+5,'Agenda 2026'!$S$2:$S$376,0)),""),"")&amp;IF(COUNTIFS('Agenda 2026'!$Q$2:$Q$376,DATE(2026,8,20),'Agenda 2026'!$M$2:$M$376,1)&gt;=6,CHAR(10)&amp;IFERROR(INDEX('Agenda 2026'!$B$2:$B$376,MATCH(DATE(2026,8,20)*10+6,'Agenda 2026'!$S$2:$S$376,0)),""),"")&amp;IF(COUNTIFS('Agenda 2026'!$Q$2:$Q$376,DATE(2026,8,20),'Agenda 2026'!$M$2:$M$376,1)&gt;=7,CHAR(10)&amp;IFERROR(INDEX('Agenda 2026'!$B$2:$B$376,MATCH(DATE(2026,8,20)*10+7,'Agenda 2026'!$S$2:$S$376,0)),""),"")&amp;IF(COUNTIFS('Agenda 2026'!$Q$2:$Q$376,DATE(2026,8,20),'Agenda 2026'!$M$2:$M$376,1)&gt;=8,CHAR(10)&amp;IFERROR(INDEX('Agenda 2026'!$B$2:$B$376,MATCH(DATE(2026,8,20)*10+8,'Agenda 2026'!$S$2:$S$376,0)),""),"")&amp;IF(COUNTIFS('Agenda 2026'!$Q$2:$Q$376,DATE(2026,8,20),'Agenda 2026'!$M$2:$M$376,1)&gt;=9,CHAR(10)&amp;IFERROR(INDEX('Agenda 2026'!$B$2:$B$376,MATCH(DATE(2026,8,20)*10+9,'Agenda 2026'!$S$2:$S$376,0)),""),"")&amp;IF(COUNTIFS('Agenda 2026'!$Q$2:$Q$376,DATE(2026,8,20),'Agenda 2026'!$M$2:$M$376,1)&gt;=10,CHAR(10)&amp;IFERROR(INDEX('Agenda 2026'!$B$2:$B$376,MATCH(DATE(2026,8,20)*10+10,'Agenda 2026'!$S$2:$S$376,0)),""),"")&amp;IF(COUNTIFS('Agenda 2026'!$Q$2:$Q$376,DATE(2026,8,20),'Agenda 2026'!$M$2:$M$376,1)&gt;=11,CHAR(10)&amp;IFERROR(INDEX('Agenda 2026'!$B$2:$B$376,MATCH(DATE(2026,8,20)*10+11,'Agenda 2026'!$S$2:$S$376,0)),""),"")&amp;IF(COUNTIFS('Agenda 2026'!$Q$2:$Q$376,DATE(2026,8,20),'Agenda 2026'!$M$2:$M$376,1)&gt;=12,CHAR(10)&amp;IFERROR(INDEX('Agenda 2026'!$B$2:$B$376,MATCH(DATE(2026,8,20)*10+12,'Agenda 2026'!$S$2:$S$376,0)),""),"")</f>
        <v>20</v>
      </c>
      <c r="F76" s="58" t="str">
        <f t="array" ref="F76">21&amp;IF(COUNTIFS('Agenda 2026'!$Q$2:$Q$376,DATE(2026,8,21),'Agenda 2026'!$M$2:$M$376,1)&gt;=1,CHAR(10)&amp;IFERROR(INDEX('Agenda 2026'!$B$2:$B$376,MATCH(DATE(2026,8,21)*10+1,'Agenda 2026'!$S$2:$S$376,0)),""),"")&amp;IF(COUNTIFS('Agenda 2026'!$Q$2:$Q$376,DATE(2026,8,21),'Agenda 2026'!$M$2:$M$376,1)&gt;=2,CHAR(10)&amp;IFERROR(INDEX('Agenda 2026'!$B$2:$B$376,MATCH(DATE(2026,8,21)*10+2,'Agenda 2026'!$S$2:$S$376,0)),""),"")&amp;IF(COUNTIFS('Agenda 2026'!$Q$2:$Q$376,DATE(2026,8,21),'Agenda 2026'!$M$2:$M$376,1)&gt;=3,CHAR(10)&amp;IFERROR(INDEX('Agenda 2026'!$B$2:$B$376,MATCH(DATE(2026,8,21)*10+3,'Agenda 2026'!$S$2:$S$376,0)),""),"")&amp;IF(COUNTIFS('Agenda 2026'!$Q$2:$Q$376,DATE(2026,8,21),'Agenda 2026'!$M$2:$M$376,1)&gt;=4,CHAR(10)&amp;IFERROR(INDEX('Agenda 2026'!$B$2:$B$376,MATCH(DATE(2026,8,21)*10+4,'Agenda 2026'!$S$2:$S$376,0)),""),"")&amp;IF(COUNTIFS('Agenda 2026'!$Q$2:$Q$376,DATE(2026,8,21),'Agenda 2026'!$M$2:$M$376,1)&gt;=5,CHAR(10)&amp;IFERROR(INDEX('Agenda 2026'!$B$2:$B$376,MATCH(DATE(2026,8,21)*10+5,'Agenda 2026'!$S$2:$S$376,0)),""),"")&amp;IF(COUNTIFS('Agenda 2026'!$Q$2:$Q$376,DATE(2026,8,21),'Agenda 2026'!$M$2:$M$376,1)&gt;=6,CHAR(10)&amp;IFERROR(INDEX('Agenda 2026'!$B$2:$B$376,MATCH(DATE(2026,8,21)*10+6,'Agenda 2026'!$S$2:$S$376,0)),""),"")&amp;IF(COUNTIFS('Agenda 2026'!$Q$2:$Q$376,DATE(2026,8,21),'Agenda 2026'!$M$2:$M$376,1)&gt;=7,CHAR(10)&amp;IFERROR(INDEX('Agenda 2026'!$B$2:$B$376,MATCH(DATE(2026,8,21)*10+7,'Agenda 2026'!$S$2:$S$376,0)),""),"")&amp;IF(COUNTIFS('Agenda 2026'!$Q$2:$Q$376,DATE(2026,8,21),'Agenda 2026'!$M$2:$M$376,1)&gt;=8,CHAR(10)&amp;IFERROR(INDEX('Agenda 2026'!$B$2:$B$376,MATCH(DATE(2026,8,21)*10+8,'Agenda 2026'!$S$2:$S$376,0)),""),"")&amp;IF(COUNTIFS('Agenda 2026'!$Q$2:$Q$376,DATE(2026,8,21),'Agenda 2026'!$M$2:$M$376,1)&gt;=9,CHAR(10)&amp;IFERROR(INDEX('Agenda 2026'!$B$2:$B$376,MATCH(DATE(2026,8,21)*10+9,'Agenda 2026'!$S$2:$S$376,0)),""),"")&amp;IF(COUNTIFS('Agenda 2026'!$Q$2:$Q$376,DATE(2026,8,21),'Agenda 2026'!$M$2:$M$376,1)&gt;=10,CHAR(10)&amp;IFERROR(INDEX('Agenda 2026'!$B$2:$B$376,MATCH(DATE(2026,8,21)*10+10,'Agenda 2026'!$S$2:$S$376,0)),""),"")&amp;IF(COUNTIFS('Agenda 2026'!$Q$2:$Q$376,DATE(2026,8,21),'Agenda 2026'!$M$2:$M$376,1)&gt;=11,CHAR(10)&amp;IFERROR(INDEX('Agenda 2026'!$B$2:$B$376,MATCH(DATE(2026,8,21)*10+11,'Agenda 2026'!$S$2:$S$376,0)),""),"")&amp;IF(COUNTIFS('Agenda 2026'!$Q$2:$Q$376,DATE(2026,8,21),'Agenda 2026'!$M$2:$M$376,1)&gt;=12,CHAR(10)&amp;IFERROR(INDEX('Agenda 2026'!$B$2:$B$376,MATCH(DATE(2026,8,21)*10+12,'Agenda 2026'!$S$2:$S$376,0)),""),"")</f>
        <v>21</v>
      </c>
      <c r="G76" s="58" t="str">
        <f t="array" ref="G76">22&amp;IF(COUNTIFS('Agenda 2026'!$Q$2:$Q$376,DATE(2026,8,22),'Agenda 2026'!$M$2:$M$376,1)&gt;=1,CHAR(10)&amp;IFERROR(INDEX('Agenda 2026'!$B$2:$B$376,MATCH(DATE(2026,8,22)*10+1,'Agenda 2026'!$S$2:$S$376,0)),""),"")&amp;IF(COUNTIFS('Agenda 2026'!$Q$2:$Q$376,DATE(2026,8,22),'Agenda 2026'!$M$2:$M$376,1)&gt;=2,CHAR(10)&amp;IFERROR(INDEX('Agenda 2026'!$B$2:$B$376,MATCH(DATE(2026,8,22)*10+2,'Agenda 2026'!$S$2:$S$376,0)),""),"")&amp;IF(COUNTIFS('Agenda 2026'!$Q$2:$Q$376,DATE(2026,8,22),'Agenda 2026'!$M$2:$M$376,1)&gt;=3,CHAR(10)&amp;IFERROR(INDEX('Agenda 2026'!$B$2:$B$376,MATCH(DATE(2026,8,22)*10+3,'Agenda 2026'!$S$2:$S$376,0)),""),"")&amp;IF(COUNTIFS('Agenda 2026'!$Q$2:$Q$376,DATE(2026,8,22),'Agenda 2026'!$M$2:$M$376,1)&gt;=4,CHAR(10)&amp;IFERROR(INDEX('Agenda 2026'!$B$2:$B$376,MATCH(DATE(2026,8,22)*10+4,'Agenda 2026'!$S$2:$S$376,0)),""),"")&amp;IF(COUNTIFS('Agenda 2026'!$Q$2:$Q$376,DATE(2026,8,22),'Agenda 2026'!$M$2:$M$376,1)&gt;=5,CHAR(10)&amp;IFERROR(INDEX('Agenda 2026'!$B$2:$B$376,MATCH(DATE(2026,8,22)*10+5,'Agenda 2026'!$S$2:$S$376,0)),""),"")&amp;IF(COUNTIFS('Agenda 2026'!$Q$2:$Q$376,DATE(2026,8,22),'Agenda 2026'!$M$2:$M$376,1)&gt;=6,CHAR(10)&amp;IFERROR(INDEX('Agenda 2026'!$B$2:$B$376,MATCH(DATE(2026,8,22)*10+6,'Agenda 2026'!$S$2:$S$376,0)),""),"")&amp;IF(COUNTIFS('Agenda 2026'!$Q$2:$Q$376,DATE(2026,8,22),'Agenda 2026'!$M$2:$M$376,1)&gt;=7,CHAR(10)&amp;IFERROR(INDEX('Agenda 2026'!$B$2:$B$376,MATCH(DATE(2026,8,22)*10+7,'Agenda 2026'!$S$2:$S$376,0)),""),"")&amp;IF(COUNTIFS('Agenda 2026'!$Q$2:$Q$376,DATE(2026,8,22),'Agenda 2026'!$M$2:$M$376,1)&gt;=8,CHAR(10)&amp;IFERROR(INDEX('Agenda 2026'!$B$2:$B$376,MATCH(DATE(2026,8,22)*10+8,'Agenda 2026'!$S$2:$S$376,0)),""),"")&amp;IF(COUNTIFS('Agenda 2026'!$Q$2:$Q$376,DATE(2026,8,22),'Agenda 2026'!$M$2:$M$376,1)&gt;=9,CHAR(10)&amp;IFERROR(INDEX('Agenda 2026'!$B$2:$B$376,MATCH(DATE(2026,8,22)*10+9,'Agenda 2026'!$S$2:$S$376,0)),""),"")&amp;IF(COUNTIFS('Agenda 2026'!$Q$2:$Q$376,DATE(2026,8,22),'Agenda 2026'!$M$2:$M$376,1)&gt;=10,CHAR(10)&amp;IFERROR(INDEX('Agenda 2026'!$B$2:$B$376,MATCH(DATE(2026,8,22)*10+10,'Agenda 2026'!$S$2:$S$376,0)),""),"")&amp;IF(COUNTIFS('Agenda 2026'!$Q$2:$Q$376,DATE(2026,8,22),'Agenda 2026'!$M$2:$M$376,1)&gt;=11,CHAR(10)&amp;IFERROR(INDEX('Agenda 2026'!$B$2:$B$376,MATCH(DATE(2026,8,22)*10+11,'Agenda 2026'!$S$2:$S$376,0)),""),"")&amp;IF(COUNTIFS('Agenda 2026'!$Q$2:$Q$376,DATE(2026,8,22),'Agenda 2026'!$M$2:$M$376,1)&gt;=12,CHAR(10)&amp;IFERROR(INDEX('Agenda 2026'!$B$2:$B$376,MATCH(DATE(2026,8,22)*10+12,'Agenda 2026'!$S$2:$S$376,0)),""),"")</f>
        <v>22</v>
      </c>
      <c r="H76" s="58" t="str">
        <f t="array" ref="H76">23&amp;IF(COUNTIFS('Agenda 2026'!$Q$2:$Q$376,DATE(2026,8,23),'Agenda 2026'!$M$2:$M$376,1)&gt;=1,CHAR(10)&amp;IFERROR(INDEX('Agenda 2026'!$B$2:$B$376,MATCH(DATE(2026,8,23)*10+1,'Agenda 2026'!$S$2:$S$376,0)),""),"")&amp;IF(COUNTIFS('Agenda 2026'!$Q$2:$Q$376,DATE(2026,8,23),'Agenda 2026'!$M$2:$M$376,1)&gt;=2,CHAR(10)&amp;IFERROR(INDEX('Agenda 2026'!$B$2:$B$376,MATCH(DATE(2026,8,23)*10+2,'Agenda 2026'!$S$2:$S$376,0)),""),"")&amp;IF(COUNTIFS('Agenda 2026'!$Q$2:$Q$376,DATE(2026,8,23),'Agenda 2026'!$M$2:$M$376,1)&gt;=3,CHAR(10)&amp;IFERROR(INDEX('Agenda 2026'!$B$2:$B$376,MATCH(DATE(2026,8,23)*10+3,'Agenda 2026'!$S$2:$S$376,0)),""),"")&amp;IF(COUNTIFS('Agenda 2026'!$Q$2:$Q$376,DATE(2026,8,23),'Agenda 2026'!$M$2:$M$376,1)&gt;=4,CHAR(10)&amp;IFERROR(INDEX('Agenda 2026'!$B$2:$B$376,MATCH(DATE(2026,8,23)*10+4,'Agenda 2026'!$S$2:$S$376,0)),""),"")&amp;IF(COUNTIFS('Agenda 2026'!$Q$2:$Q$376,DATE(2026,8,23),'Agenda 2026'!$M$2:$M$376,1)&gt;=5,CHAR(10)&amp;IFERROR(INDEX('Agenda 2026'!$B$2:$B$376,MATCH(DATE(2026,8,23)*10+5,'Agenda 2026'!$S$2:$S$376,0)),""),"")&amp;IF(COUNTIFS('Agenda 2026'!$Q$2:$Q$376,DATE(2026,8,23),'Agenda 2026'!$M$2:$M$376,1)&gt;=6,CHAR(10)&amp;IFERROR(INDEX('Agenda 2026'!$B$2:$B$376,MATCH(DATE(2026,8,23)*10+6,'Agenda 2026'!$S$2:$S$376,0)),""),"")&amp;IF(COUNTIFS('Agenda 2026'!$Q$2:$Q$376,DATE(2026,8,23),'Agenda 2026'!$M$2:$M$376,1)&gt;=7,CHAR(10)&amp;IFERROR(INDEX('Agenda 2026'!$B$2:$B$376,MATCH(DATE(2026,8,23)*10+7,'Agenda 2026'!$S$2:$S$376,0)),""),"")&amp;IF(COUNTIFS('Agenda 2026'!$Q$2:$Q$376,DATE(2026,8,23),'Agenda 2026'!$M$2:$M$376,1)&gt;=8,CHAR(10)&amp;IFERROR(INDEX('Agenda 2026'!$B$2:$B$376,MATCH(DATE(2026,8,23)*10+8,'Agenda 2026'!$S$2:$S$376,0)),""),"")&amp;IF(COUNTIFS('Agenda 2026'!$Q$2:$Q$376,DATE(2026,8,23),'Agenda 2026'!$M$2:$M$376,1)&gt;=9,CHAR(10)&amp;IFERROR(INDEX('Agenda 2026'!$B$2:$B$376,MATCH(DATE(2026,8,23)*10+9,'Agenda 2026'!$S$2:$S$376,0)),""),"")&amp;IF(COUNTIFS('Agenda 2026'!$Q$2:$Q$376,DATE(2026,8,23),'Agenda 2026'!$M$2:$M$376,1)&gt;=10,CHAR(10)&amp;IFERROR(INDEX('Agenda 2026'!$B$2:$B$376,MATCH(DATE(2026,8,23)*10+10,'Agenda 2026'!$S$2:$S$376,0)),""),"")&amp;IF(COUNTIFS('Agenda 2026'!$Q$2:$Q$376,DATE(2026,8,23),'Agenda 2026'!$M$2:$M$376,1)&gt;=11,CHAR(10)&amp;IFERROR(INDEX('Agenda 2026'!$B$2:$B$376,MATCH(DATE(2026,8,23)*10+11,'Agenda 2026'!$S$2:$S$376,0)),""),"")&amp;IF(COUNTIFS('Agenda 2026'!$Q$2:$Q$376,DATE(2026,8,23),'Agenda 2026'!$M$2:$M$376,1)&gt;=12,CHAR(10)&amp;IFERROR(INDEX('Agenda 2026'!$B$2:$B$376,MATCH(DATE(2026,8,23)*10+12,'Agenda 2026'!$S$2:$S$376,0)),""),"")</f>
        <v>23</v>
      </c>
    </row>
    <row r="77" spans="1:8" ht="45.75" customHeight="1" x14ac:dyDescent="0.35">
      <c r="A77" s="17"/>
      <c r="B77" s="58" t="str">
        <f t="array" ref="B77">24&amp;IF(COUNTIFS('Agenda 2026'!$Q$2:$Q$376,DATE(2026,8,24),'Agenda 2026'!$M$2:$M$376,1)&gt;=1,CHAR(10)&amp;IFERROR(INDEX('Agenda 2026'!$B$2:$B$376,MATCH(DATE(2026,8,24)*10+1,'Agenda 2026'!$S$2:$S$376,0)),""),"")&amp;IF(COUNTIFS('Agenda 2026'!$Q$2:$Q$376,DATE(2026,8,24),'Agenda 2026'!$M$2:$M$376,1)&gt;=2,CHAR(10)&amp;IFERROR(INDEX('Agenda 2026'!$B$2:$B$376,MATCH(DATE(2026,8,24)*10+2,'Agenda 2026'!$S$2:$S$376,0)),""),"")&amp;IF(COUNTIFS('Agenda 2026'!$Q$2:$Q$376,DATE(2026,8,24),'Agenda 2026'!$M$2:$M$376,1)&gt;=3,CHAR(10)&amp;IFERROR(INDEX('Agenda 2026'!$B$2:$B$376,MATCH(DATE(2026,8,24)*10+3,'Agenda 2026'!$S$2:$S$376,0)),""),"")&amp;IF(COUNTIFS('Agenda 2026'!$Q$2:$Q$376,DATE(2026,8,24),'Agenda 2026'!$M$2:$M$376,1)&gt;=4,CHAR(10)&amp;IFERROR(INDEX('Agenda 2026'!$B$2:$B$376,MATCH(DATE(2026,8,24)*10+4,'Agenda 2026'!$S$2:$S$376,0)),""),"")&amp;IF(COUNTIFS('Agenda 2026'!$Q$2:$Q$376,DATE(2026,8,24),'Agenda 2026'!$M$2:$M$376,1)&gt;=5,CHAR(10)&amp;IFERROR(INDEX('Agenda 2026'!$B$2:$B$376,MATCH(DATE(2026,8,24)*10+5,'Agenda 2026'!$S$2:$S$376,0)),""),"")&amp;IF(COUNTIFS('Agenda 2026'!$Q$2:$Q$376,DATE(2026,8,24),'Agenda 2026'!$M$2:$M$376,1)&gt;=6,CHAR(10)&amp;IFERROR(INDEX('Agenda 2026'!$B$2:$B$376,MATCH(DATE(2026,8,24)*10+6,'Agenda 2026'!$S$2:$S$376,0)),""),"")&amp;IF(COUNTIFS('Agenda 2026'!$Q$2:$Q$376,DATE(2026,8,24),'Agenda 2026'!$M$2:$M$376,1)&gt;=7,CHAR(10)&amp;IFERROR(INDEX('Agenda 2026'!$B$2:$B$376,MATCH(DATE(2026,8,24)*10+7,'Agenda 2026'!$S$2:$S$376,0)),""),"")&amp;IF(COUNTIFS('Agenda 2026'!$Q$2:$Q$376,DATE(2026,8,24),'Agenda 2026'!$M$2:$M$376,1)&gt;=8,CHAR(10)&amp;IFERROR(INDEX('Agenda 2026'!$B$2:$B$376,MATCH(DATE(2026,8,24)*10+8,'Agenda 2026'!$S$2:$S$376,0)),""),"")&amp;IF(COUNTIFS('Agenda 2026'!$Q$2:$Q$376,DATE(2026,8,24),'Agenda 2026'!$M$2:$M$376,1)&gt;=9,CHAR(10)&amp;IFERROR(INDEX('Agenda 2026'!$B$2:$B$376,MATCH(DATE(2026,8,24)*10+9,'Agenda 2026'!$S$2:$S$376,0)),""),"")&amp;IF(COUNTIFS('Agenda 2026'!$Q$2:$Q$376,DATE(2026,8,24),'Agenda 2026'!$M$2:$M$376,1)&gt;=10,CHAR(10)&amp;IFERROR(INDEX('Agenda 2026'!$B$2:$B$376,MATCH(DATE(2026,8,24)*10+10,'Agenda 2026'!$S$2:$S$376,0)),""),"")&amp;IF(COUNTIFS('Agenda 2026'!$Q$2:$Q$376,DATE(2026,8,24),'Agenda 2026'!$M$2:$M$376,1)&gt;=11,CHAR(10)&amp;IFERROR(INDEX('Agenda 2026'!$B$2:$B$376,MATCH(DATE(2026,8,24)*10+11,'Agenda 2026'!$S$2:$S$376,0)),""),"")&amp;IF(COUNTIFS('Agenda 2026'!$Q$2:$Q$376,DATE(2026,8,24),'Agenda 2026'!$M$2:$M$376,1)&gt;=12,CHAR(10)&amp;IFERROR(INDEX('Agenda 2026'!$B$2:$B$376,MATCH(DATE(2026,8,24)*10+12,'Agenda 2026'!$S$2:$S$376,0)),""),"")</f>
        <v>24</v>
      </c>
      <c r="C77" s="58" t="str">
        <f t="array" ref="C77">25&amp;IF(COUNTIFS('Agenda 2026'!$Q$2:$Q$376,DATE(2026,8,25),'Agenda 2026'!$M$2:$M$376,1)&gt;=1,CHAR(10)&amp;IFERROR(INDEX('Agenda 2026'!$B$2:$B$376,MATCH(DATE(2026,8,25)*10+1,'Agenda 2026'!$S$2:$S$376,0)),""),"")&amp;IF(COUNTIFS('Agenda 2026'!$Q$2:$Q$376,DATE(2026,8,25),'Agenda 2026'!$M$2:$M$376,1)&gt;=2,CHAR(10)&amp;IFERROR(INDEX('Agenda 2026'!$B$2:$B$376,MATCH(DATE(2026,8,25)*10+2,'Agenda 2026'!$S$2:$S$376,0)),""),"")&amp;IF(COUNTIFS('Agenda 2026'!$Q$2:$Q$376,DATE(2026,8,25),'Agenda 2026'!$M$2:$M$376,1)&gt;=3,CHAR(10)&amp;IFERROR(INDEX('Agenda 2026'!$B$2:$B$376,MATCH(DATE(2026,8,25)*10+3,'Agenda 2026'!$S$2:$S$376,0)),""),"")&amp;IF(COUNTIFS('Agenda 2026'!$Q$2:$Q$376,DATE(2026,8,25),'Agenda 2026'!$M$2:$M$376,1)&gt;=4,CHAR(10)&amp;IFERROR(INDEX('Agenda 2026'!$B$2:$B$376,MATCH(DATE(2026,8,25)*10+4,'Agenda 2026'!$S$2:$S$376,0)),""),"")&amp;IF(COUNTIFS('Agenda 2026'!$Q$2:$Q$376,DATE(2026,8,25),'Agenda 2026'!$M$2:$M$376,1)&gt;=5,CHAR(10)&amp;IFERROR(INDEX('Agenda 2026'!$B$2:$B$376,MATCH(DATE(2026,8,25)*10+5,'Agenda 2026'!$S$2:$S$376,0)),""),"")&amp;IF(COUNTIFS('Agenda 2026'!$Q$2:$Q$376,DATE(2026,8,25),'Agenda 2026'!$M$2:$M$376,1)&gt;=6,CHAR(10)&amp;IFERROR(INDEX('Agenda 2026'!$B$2:$B$376,MATCH(DATE(2026,8,25)*10+6,'Agenda 2026'!$S$2:$S$376,0)),""),"")&amp;IF(COUNTIFS('Agenda 2026'!$Q$2:$Q$376,DATE(2026,8,25),'Agenda 2026'!$M$2:$M$376,1)&gt;=7,CHAR(10)&amp;IFERROR(INDEX('Agenda 2026'!$B$2:$B$376,MATCH(DATE(2026,8,25)*10+7,'Agenda 2026'!$S$2:$S$376,0)),""),"")&amp;IF(COUNTIFS('Agenda 2026'!$Q$2:$Q$376,DATE(2026,8,25),'Agenda 2026'!$M$2:$M$376,1)&gt;=8,CHAR(10)&amp;IFERROR(INDEX('Agenda 2026'!$B$2:$B$376,MATCH(DATE(2026,8,25)*10+8,'Agenda 2026'!$S$2:$S$376,0)),""),"")&amp;IF(COUNTIFS('Agenda 2026'!$Q$2:$Q$376,DATE(2026,8,25),'Agenda 2026'!$M$2:$M$376,1)&gt;=9,CHAR(10)&amp;IFERROR(INDEX('Agenda 2026'!$B$2:$B$376,MATCH(DATE(2026,8,25)*10+9,'Agenda 2026'!$S$2:$S$376,0)),""),"")&amp;IF(COUNTIFS('Agenda 2026'!$Q$2:$Q$376,DATE(2026,8,25),'Agenda 2026'!$M$2:$M$376,1)&gt;=10,CHAR(10)&amp;IFERROR(INDEX('Agenda 2026'!$B$2:$B$376,MATCH(DATE(2026,8,25)*10+10,'Agenda 2026'!$S$2:$S$376,0)),""),"")&amp;IF(COUNTIFS('Agenda 2026'!$Q$2:$Q$376,DATE(2026,8,25),'Agenda 2026'!$M$2:$M$376,1)&gt;=11,CHAR(10)&amp;IFERROR(INDEX('Agenda 2026'!$B$2:$B$376,MATCH(DATE(2026,8,25)*10+11,'Agenda 2026'!$S$2:$S$376,0)),""),"")&amp;IF(COUNTIFS('Agenda 2026'!$Q$2:$Q$376,DATE(2026,8,25),'Agenda 2026'!$M$2:$M$376,1)&gt;=12,CHAR(10)&amp;IFERROR(INDEX('Agenda 2026'!$B$2:$B$376,MATCH(DATE(2026,8,25)*10+12,'Agenda 2026'!$S$2:$S$376,0)),""),"")</f>
        <v>25</v>
      </c>
      <c r="D77" s="58" t="str">
        <f t="array" ref="D77">26&amp;IF(COUNTIFS('Agenda 2026'!$Q$2:$Q$376,DATE(2026,8,26),'Agenda 2026'!$M$2:$M$376,1)&gt;=1,CHAR(10)&amp;IFERROR(INDEX('Agenda 2026'!$B$2:$B$376,MATCH(DATE(2026,8,26)*10+1,'Agenda 2026'!$S$2:$S$376,0)),""),"")&amp;IF(COUNTIFS('Agenda 2026'!$Q$2:$Q$376,DATE(2026,8,26),'Agenda 2026'!$M$2:$M$376,1)&gt;=2,CHAR(10)&amp;IFERROR(INDEX('Agenda 2026'!$B$2:$B$376,MATCH(DATE(2026,8,26)*10+2,'Agenda 2026'!$S$2:$S$376,0)),""),"")&amp;IF(COUNTIFS('Agenda 2026'!$Q$2:$Q$376,DATE(2026,8,26),'Agenda 2026'!$M$2:$M$376,1)&gt;=3,CHAR(10)&amp;IFERROR(INDEX('Agenda 2026'!$B$2:$B$376,MATCH(DATE(2026,8,26)*10+3,'Agenda 2026'!$S$2:$S$376,0)),""),"")&amp;IF(COUNTIFS('Agenda 2026'!$Q$2:$Q$376,DATE(2026,8,26),'Agenda 2026'!$M$2:$M$376,1)&gt;=4,CHAR(10)&amp;IFERROR(INDEX('Agenda 2026'!$B$2:$B$376,MATCH(DATE(2026,8,26)*10+4,'Agenda 2026'!$S$2:$S$376,0)),""),"")&amp;IF(COUNTIFS('Agenda 2026'!$Q$2:$Q$376,DATE(2026,8,26),'Agenda 2026'!$M$2:$M$376,1)&gt;=5,CHAR(10)&amp;IFERROR(INDEX('Agenda 2026'!$B$2:$B$376,MATCH(DATE(2026,8,26)*10+5,'Agenda 2026'!$S$2:$S$376,0)),""),"")&amp;IF(COUNTIFS('Agenda 2026'!$Q$2:$Q$376,DATE(2026,8,26),'Agenda 2026'!$M$2:$M$376,1)&gt;=6,CHAR(10)&amp;IFERROR(INDEX('Agenda 2026'!$B$2:$B$376,MATCH(DATE(2026,8,26)*10+6,'Agenda 2026'!$S$2:$S$376,0)),""),"")&amp;IF(COUNTIFS('Agenda 2026'!$Q$2:$Q$376,DATE(2026,8,26),'Agenda 2026'!$M$2:$M$376,1)&gt;=7,CHAR(10)&amp;IFERROR(INDEX('Agenda 2026'!$B$2:$B$376,MATCH(DATE(2026,8,26)*10+7,'Agenda 2026'!$S$2:$S$376,0)),""),"")&amp;IF(COUNTIFS('Agenda 2026'!$Q$2:$Q$376,DATE(2026,8,26),'Agenda 2026'!$M$2:$M$376,1)&gt;=8,CHAR(10)&amp;IFERROR(INDEX('Agenda 2026'!$B$2:$B$376,MATCH(DATE(2026,8,26)*10+8,'Agenda 2026'!$S$2:$S$376,0)),""),"")&amp;IF(COUNTIFS('Agenda 2026'!$Q$2:$Q$376,DATE(2026,8,26),'Agenda 2026'!$M$2:$M$376,1)&gt;=9,CHAR(10)&amp;IFERROR(INDEX('Agenda 2026'!$B$2:$B$376,MATCH(DATE(2026,8,26)*10+9,'Agenda 2026'!$S$2:$S$376,0)),""),"")&amp;IF(COUNTIFS('Agenda 2026'!$Q$2:$Q$376,DATE(2026,8,26),'Agenda 2026'!$M$2:$M$376,1)&gt;=10,CHAR(10)&amp;IFERROR(INDEX('Agenda 2026'!$B$2:$B$376,MATCH(DATE(2026,8,26)*10+10,'Agenda 2026'!$S$2:$S$376,0)),""),"")&amp;IF(COUNTIFS('Agenda 2026'!$Q$2:$Q$376,DATE(2026,8,26),'Agenda 2026'!$M$2:$M$376,1)&gt;=11,CHAR(10)&amp;IFERROR(INDEX('Agenda 2026'!$B$2:$B$376,MATCH(DATE(2026,8,26)*10+11,'Agenda 2026'!$S$2:$S$376,0)),""),"")&amp;IF(COUNTIFS('Agenda 2026'!$Q$2:$Q$376,DATE(2026,8,26),'Agenda 2026'!$M$2:$M$376,1)&gt;=12,CHAR(10)&amp;IFERROR(INDEX('Agenda 2026'!$B$2:$B$376,MATCH(DATE(2026,8,26)*10+12,'Agenda 2026'!$S$2:$S$376,0)),""),"")</f>
        <v>26</v>
      </c>
      <c r="E77" s="58" t="str">
        <f t="array" ref="E77">27&amp;IF(COUNTIFS('Agenda 2026'!$Q$2:$Q$376,DATE(2026,8,27),'Agenda 2026'!$M$2:$M$376,1)&gt;=1,CHAR(10)&amp;IFERROR(INDEX('Agenda 2026'!$B$2:$B$376,MATCH(DATE(2026,8,27)*10+1,'Agenda 2026'!$S$2:$S$376,0)),""),"")&amp;IF(COUNTIFS('Agenda 2026'!$Q$2:$Q$376,DATE(2026,8,27),'Agenda 2026'!$M$2:$M$376,1)&gt;=2,CHAR(10)&amp;IFERROR(INDEX('Agenda 2026'!$B$2:$B$376,MATCH(DATE(2026,8,27)*10+2,'Agenda 2026'!$S$2:$S$376,0)),""),"")&amp;IF(COUNTIFS('Agenda 2026'!$Q$2:$Q$376,DATE(2026,8,27),'Agenda 2026'!$M$2:$M$376,1)&gt;=3,CHAR(10)&amp;IFERROR(INDEX('Agenda 2026'!$B$2:$B$376,MATCH(DATE(2026,8,27)*10+3,'Agenda 2026'!$S$2:$S$376,0)),""),"")&amp;IF(COUNTIFS('Agenda 2026'!$Q$2:$Q$376,DATE(2026,8,27),'Agenda 2026'!$M$2:$M$376,1)&gt;=4,CHAR(10)&amp;IFERROR(INDEX('Agenda 2026'!$B$2:$B$376,MATCH(DATE(2026,8,27)*10+4,'Agenda 2026'!$S$2:$S$376,0)),""),"")&amp;IF(COUNTIFS('Agenda 2026'!$Q$2:$Q$376,DATE(2026,8,27),'Agenda 2026'!$M$2:$M$376,1)&gt;=5,CHAR(10)&amp;IFERROR(INDEX('Agenda 2026'!$B$2:$B$376,MATCH(DATE(2026,8,27)*10+5,'Agenda 2026'!$S$2:$S$376,0)),""),"")&amp;IF(COUNTIFS('Agenda 2026'!$Q$2:$Q$376,DATE(2026,8,27),'Agenda 2026'!$M$2:$M$376,1)&gt;=6,CHAR(10)&amp;IFERROR(INDEX('Agenda 2026'!$B$2:$B$376,MATCH(DATE(2026,8,27)*10+6,'Agenda 2026'!$S$2:$S$376,0)),""),"")&amp;IF(COUNTIFS('Agenda 2026'!$Q$2:$Q$376,DATE(2026,8,27),'Agenda 2026'!$M$2:$M$376,1)&gt;=7,CHAR(10)&amp;IFERROR(INDEX('Agenda 2026'!$B$2:$B$376,MATCH(DATE(2026,8,27)*10+7,'Agenda 2026'!$S$2:$S$376,0)),""),"")&amp;IF(COUNTIFS('Agenda 2026'!$Q$2:$Q$376,DATE(2026,8,27),'Agenda 2026'!$M$2:$M$376,1)&gt;=8,CHAR(10)&amp;IFERROR(INDEX('Agenda 2026'!$B$2:$B$376,MATCH(DATE(2026,8,27)*10+8,'Agenda 2026'!$S$2:$S$376,0)),""),"")&amp;IF(COUNTIFS('Agenda 2026'!$Q$2:$Q$376,DATE(2026,8,27),'Agenda 2026'!$M$2:$M$376,1)&gt;=9,CHAR(10)&amp;IFERROR(INDEX('Agenda 2026'!$B$2:$B$376,MATCH(DATE(2026,8,27)*10+9,'Agenda 2026'!$S$2:$S$376,0)),""),"")&amp;IF(COUNTIFS('Agenda 2026'!$Q$2:$Q$376,DATE(2026,8,27),'Agenda 2026'!$M$2:$M$376,1)&gt;=10,CHAR(10)&amp;IFERROR(INDEX('Agenda 2026'!$B$2:$B$376,MATCH(DATE(2026,8,27)*10+10,'Agenda 2026'!$S$2:$S$376,0)),""),"")&amp;IF(COUNTIFS('Agenda 2026'!$Q$2:$Q$376,DATE(2026,8,27),'Agenda 2026'!$M$2:$M$376,1)&gt;=11,CHAR(10)&amp;IFERROR(INDEX('Agenda 2026'!$B$2:$B$376,MATCH(DATE(2026,8,27)*10+11,'Agenda 2026'!$S$2:$S$376,0)),""),"")&amp;IF(COUNTIFS('Agenda 2026'!$Q$2:$Q$376,DATE(2026,8,27),'Agenda 2026'!$M$2:$M$376,1)&gt;=12,CHAR(10)&amp;IFERROR(INDEX('Agenda 2026'!$B$2:$B$376,MATCH(DATE(2026,8,27)*10+12,'Agenda 2026'!$S$2:$S$376,0)),""),"")</f>
        <v>27</v>
      </c>
      <c r="F77" s="58" t="str">
        <f t="array" ref="F77">28&amp;IF(COUNTIFS('Agenda 2026'!$Q$2:$Q$376,DATE(2026,8,28),'Agenda 2026'!$M$2:$M$376,1)&gt;=1,CHAR(10)&amp;IFERROR(INDEX('Agenda 2026'!$B$2:$B$376,MATCH(DATE(2026,8,28)*10+1,'Agenda 2026'!$S$2:$S$376,0)),""),"")&amp;IF(COUNTIFS('Agenda 2026'!$Q$2:$Q$376,DATE(2026,8,28),'Agenda 2026'!$M$2:$M$376,1)&gt;=2,CHAR(10)&amp;IFERROR(INDEX('Agenda 2026'!$B$2:$B$376,MATCH(DATE(2026,8,28)*10+2,'Agenda 2026'!$S$2:$S$376,0)),""),"")&amp;IF(COUNTIFS('Agenda 2026'!$Q$2:$Q$376,DATE(2026,8,28),'Agenda 2026'!$M$2:$M$376,1)&gt;=3,CHAR(10)&amp;IFERROR(INDEX('Agenda 2026'!$B$2:$B$376,MATCH(DATE(2026,8,28)*10+3,'Agenda 2026'!$S$2:$S$376,0)),""),"")&amp;IF(COUNTIFS('Agenda 2026'!$Q$2:$Q$376,DATE(2026,8,28),'Agenda 2026'!$M$2:$M$376,1)&gt;=4,CHAR(10)&amp;IFERROR(INDEX('Agenda 2026'!$B$2:$B$376,MATCH(DATE(2026,8,28)*10+4,'Agenda 2026'!$S$2:$S$376,0)),""),"")&amp;IF(COUNTIFS('Agenda 2026'!$Q$2:$Q$376,DATE(2026,8,28),'Agenda 2026'!$M$2:$M$376,1)&gt;=5,CHAR(10)&amp;IFERROR(INDEX('Agenda 2026'!$B$2:$B$376,MATCH(DATE(2026,8,28)*10+5,'Agenda 2026'!$S$2:$S$376,0)),""),"")&amp;IF(COUNTIFS('Agenda 2026'!$Q$2:$Q$376,DATE(2026,8,28),'Agenda 2026'!$M$2:$M$376,1)&gt;=6,CHAR(10)&amp;IFERROR(INDEX('Agenda 2026'!$B$2:$B$376,MATCH(DATE(2026,8,28)*10+6,'Agenda 2026'!$S$2:$S$376,0)),""),"")&amp;IF(COUNTIFS('Agenda 2026'!$Q$2:$Q$376,DATE(2026,8,28),'Agenda 2026'!$M$2:$M$376,1)&gt;=7,CHAR(10)&amp;IFERROR(INDEX('Agenda 2026'!$B$2:$B$376,MATCH(DATE(2026,8,28)*10+7,'Agenda 2026'!$S$2:$S$376,0)),""),"")&amp;IF(COUNTIFS('Agenda 2026'!$Q$2:$Q$376,DATE(2026,8,28),'Agenda 2026'!$M$2:$M$376,1)&gt;=8,CHAR(10)&amp;IFERROR(INDEX('Agenda 2026'!$B$2:$B$376,MATCH(DATE(2026,8,28)*10+8,'Agenda 2026'!$S$2:$S$376,0)),""),"")&amp;IF(COUNTIFS('Agenda 2026'!$Q$2:$Q$376,DATE(2026,8,28),'Agenda 2026'!$M$2:$M$376,1)&gt;=9,CHAR(10)&amp;IFERROR(INDEX('Agenda 2026'!$B$2:$B$376,MATCH(DATE(2026,8,28)*10+9,'Agenda 2026'!$S$2:$S$376,0)),""),"")&amp;IF(COUNTIFS('Agenda 2026'!$Q$2:$Q$376,DATE(2026,8,28),'Agenda 2026'!$M$2:$M$376,1)&gt;=10,CHAR(10)&amp;IFERROR(INDEX('Agenda 2026'!$B$2:$B$376,MATCH(DATE(2026,8,28)*10+10,'Agenda 2026'!$S$2:$S$376,0)),""),"")&amp;IF(COUNTIFS('Agenda 2026'!$Q$2:$Q$376,DATE(2026,8,28),'Agenda 2026'!$M$2:$M$376,1)&gt;=11,CHAR(10)&amp;IFERROR(INDEX('Agenda 2026'!$B$2:$B$376,MATCH(DATE(2026,8,28)*10+11,'Agenda 2026'!$S$2:$S$376,0)),""),"")&amp;IF(COUNTIFS('Agenda 2026'!$Q$2:$Q$376,DATE(2026,8,28),'Agenda 2026'!$M$2:$M$376,1)&gt;=12,CHAR(10)&amp;IFERROR(INDEX('Agenda 2026'!$B$2:$B$376,MATCH(DATE(2026,8,28)*10+12,'Agenda 2026'!$S$2:$S$376,0)),""),"")</f>
        <v>28</v>
      </c>
      <c r="G77" s="58" t="str">
        <f t="array" ref="G77">29&amp;IF(COUNTIFS('Agenda 2026'!$Q$2:$Q$376,DATE(2026,8,29),'Agenda 2026'!$M$2:$M$376,1)&gt;=1,CHAR(10)&amp;IFERROR(INDEX('Agenda 2026'!$B$2:$B$376,MATCH(DATE(2026,8,29)*10+1,'Agenda 2026'!$S$2:$S$376,0)),""),"")&amp;IF(COUNTIFS('Agenda 2026'!$Q$2:$Q$376,DATE(2026,8,29),'Agenda 2026'!$M$2:$M$376,1)&gt;=2,CHAR(10)&amp;IFERROR(INDEX('Agenda 2026'!$B$2:$B$376,MATCH(DATE(2026,8,29)*10+2,'Agenda 2026'!$S$2:$S$376,0)),""),"")&amp;IF(COUNTIFS('Agenda 2026'!$Q$2:$Q$376,DATE(2026,8,29),'Agenda 2026'!$M$2:$M$376,1)&gt;=3,CHAR(10)&amp;IFERROR(INDEX('Agenda 2026'!$B$2:$B$376,MATCH(DATE(2026,8,29)*10+3,'Agenda 2026'!$S$2:$S$376,0)),""),"")&amp;IF(COUNTIFS('Agenda 2026'!$Q$2:$Q$376,DATE(2026,8,29),'Agenda 2026'!$M$2:$M$376,1)&gt;=4,CHAR(10)&amp;IFERROR(INDEX('Agenda 2026'!$B$2:$B$376,MATCH(DATE(2026,8,29)*10+4,'Agenda 2026'!$S$2:$S$376,0)),""),"")&amp;IF(COUNTIFS('Agenda 2026'!$Q$2:$Q$376,DATE(2026,8,29),'Agenda 2026'!$M$2:$M$376,1)&gt;=5,CHAR(10)&amp;IFERROR(INDEX('Agenda 2026'!$B$2:$B$376,MATCH(DATE(2026,8,29)*10+5,'Agenda 2026'!$S$2:$S$376,0)),""),"")&amp;IF(COUNTIFS('Agenda 2026'!$Q$2:$Q$376,DATE(2026,8,29),'Agenda 2026'!$M$2:$M$376,1)&gt;=6,CHAR(10)&amp;IFERROR(INDEX('Agenda 2026'!$B$2:$B$376,MATCH(DATE(2026,8,29)*10+6,'Agenda 2026'!$S$2:$S$376,0)),""),"")&amp;IF(COUNTIFS('Agenda 2026'!$Q$2:$Q$376,DATE(2026,8,29),'Agenda 2026'!$M$2:$M$376,1)&gt;=7,CHAR(10)&amp;IFERROR(INDEX('Agenda 2026'!$B$2:$B$376,MATCH(DATE(2026,8,29)*10+7,'Agenda 2026'!$S$2:$S$376,0)),""),"")&amp;IF(COUNTIFS('Agenda 2026'!$Q$2:$Q$376,DATE(2026,8,29),'Agenda 2026'!$M$2:$M$376,1)&gt;=8,CHAR(10)&amp;IFERROR(INDEX('Agenda 2026'!$B$2:$B$376,MATCH(DATE(2026,8,29)*10+8,'Agenda 2026'!$S$2:$S$376,0)),""),"")&amp;IF(COUNTIFS('Agenda 2026'!$Q$2:$Q$376,DATE(2026,8,29),'Agenda 2026'!$M$2:$M$376,1)&gt;=9,CHAR(10)&amp;IFERROR(INDEX('Agenda 2026'!$B$2:$B$376,MATCH(DATE(2026,8,29)*10+9,'Agenda 2026'!$S$2:$S$376,0)),""),"")&amp;IF(COUNTIFS('Agenda 2026'!$Q$2:$Q$376,DATE(2026,8,29),'Agenda 2026'!$M$2:$M$376,1)&gt;=10,CHAR(10)&amp;IFERROR(INDEX('Agenda 2026'!$B$2:$B$376,MATCH(DATE(2026,8,29)*10+10,'Agenda 2026'!$S$2:$S$376,0)),""),"")&amp;IF(COUNTIFS('Agenda 2026'!$Q$2:$Q$376,DATE(2026,8,29),'Agenda 2026'!$M$2:$M$376,1)&gt;=11,CHAR(10)&amp;IFERROR(INDEX('Agenda 2026'!$B$2:$B$376,MATCH(DATE(2026,8,29)*10+11,'Agenda 2026'!$S$2:$S$376,0)),""),"")&amp;IF(COUNTIFS('Agenda 2026'!$Q$2:$Q$376,DATE(2026,8,29),'Agenda 2026'!$M$2:$M$376,1)&gt;=12,CHAR(10)&amp;IFERROR(INDEX('Agenda 2026'!$B$2:$B$376,MATCH(DATE(2026,8,29)*10+12,'Agenda 2026'!$S$2:$S$376,0)),""),"")</f>
        <v>29</v>
      </c>
      <c r="H77" s="58" t="str">
        <f t="array" ref="H77">30&amp;IF(COUNTIFS('Agenda 2026'!$Q$2:$Q$376,DATE(2026,8,30),'Agenda 2026'!$M$2:$M$376,1)&gt;=1,CHAR(10)&amp;IFERROR(INDEX('Agenda 2026'!$B$2:$B$376,MATCH(DATE(2026,8,30)*10+1,'Agenda 2026'!$S$2:$S$376,0)),""),"")&amp;IF(COUNTIFS('Agenda 2026'!$Q$2:$Q$376,DATE(2026,8,30),'Agenda 2026'!$M$2:$M$376,1)&gt;=2,CHAR(10)&amp;IFERROR(INDEX('Agenda 2026'!$B$2:$B$376,MATCH(DATE(2026,8,30)*10+2,'Agenda 2026'!$S$2:$S$376,0)),""),"")&amp;IF(COUNTIFS('Agenda 2026'!$Q$2:$Q$376,DATE(2026,8,30),'Agenda 2026'!$M$2:$M$376,1)&gt;=3,CHAR(10)&amp;IFERROR(INDEX('Agenda 2026'!$B$2:$B$376,MATCH(DATE(2026,8,30)*10+3,'Agenda 2026'!$S$2:$S$376,0)),""),"")&amp;IF(COUNTIFS('Agenda 2026'!$Q$2:$Q$376,DATE(2026,8,30),'Agenda 2026'!$M$2:$M$376,1)&gt;=4,CHAR(10)&amp;IFERROR(INDEX('Agenda 2026'!$B$2:$B$376,MATCH(DATE(2026,8,30)*10+4,'Agenda 2026'!$S$2:$S$376,0)),""),"")&amp;IF(COUNTIFS('Agenda 2026'!$Q$2:$Q$376,DATE(2026,8,30),'Agenda 2026'!$M$2:$M$376,1)&gt;=5,CHAR(10)&amp;IFERROR(INDEX('Agenda 2026'!$B$2:$B$376,MATCH(DATE(2026,8,30)*10+5,'Agenda 2026'!$S$2:$S$376,0)),""),"")&amp;IF(COUNTIFS('Agenda 2026'!$Q$2:$Q$376,DATE(2026,8,30),'Agenda 2026'!$M$2:$M$376,1)&gt;=6,CHAR(10)&amp;IFERROR(INDEX('Agenda 2026'!$B$2:$B$376,MATCH(DATE(2026,8,30)*10+6,'Agenda 2026'!$S$2:$S$376,0)),""),"")&amp;IF(COUNTIFS('Agenda 2026'!$Q$2:$Q$376,DATE(2026,8,30),'Agenda 2026'!$M$2:$M$376,1)&gt;=7,CHAR(10)&amp;IFERROR(INDEX('Agenda 2026'!$B$2:$B$376,MATCH(DATE(2026,8,30)*10+7,'Agenda 2026'!$S$2:$S$376,0)),""),"")&amp;IF(COUNTIFS('Agenda 2026'!$Q$2:$Q$376,DATE(2026,8,30),'Agenda 2026'!$M$2:$M$376,1)&gt;=8,CHAR(10)&amp;IFERROR(INDEX('Agenda 2026'!$B$2:$B$376,MATCH(DATE(2026,8,30)*10+8,'Agenda 2026'!$S$2:$S$376,0)),""),"")&amp;IF(COUNTIFS('Agenda 2026'!$Q$2:$Q$376,DATE(2026,8,30),'Agenda 2026'!$M$2:$M$376,1)&gt;=9,CHAR(10)&amp;IFERROR(INDEX('Agenda 2026'!$B$2:$B$376,MATCH(DATE(2026,8,30)*10+9,'Agenda 2026'!$S$2:$S$376,0)),""),"")&amp;IF(COUNTIFS('Agenda 2026'!$Q$2:$Q$376,DATE(2026,8,30),'Agenda 2026'!$M$2:$M$376,1)&gt;=10,CHAR(10)&amp;IFERROR(INDEX('Agenda 2026'!$B$2:$B$376,MATCH(DATE(2026,8,30)*10+10,'Agenda 2026'!$S$2:$S$376,0)),""),"")&amp;IF(COUNTIFS('Agenda 2026'!$Q$2:$Q$376,DATE(2026,8,30),'Agenda 2026'!$M$2:$M$376,1)&gt;=11,CHAR(10)&amp;IFERROR(INDEX('Agenda 2026'!$B$2:$B$376,MATCH(DATE(2026,8,30)*10+11,'Agenda 2026'!$S$2:$S$376,0)),""),"")&amp;IF(COUNTIFS('Agenda 2026'!$Q$2:$Q$376,DATE(2026,8,30),'Agenda 2026'!$M$2:$M$376,1)&gt;=12,CHAR(10)&amp;IFERROR(INDEX('Agenda 2026'!$B$2:$B$376,MATCH(DATE(2026,8,30)*10+12,'Agenda 2026'!$S$2:$S$376,0)),""),"")</f>
        <v>30</v>
      </c>
    </row>
    <row r="78" spans="1:8" ht="21.75" customHeight="1" x14ac:dyDescent="0.35">
      <c r="A78" s="17"/>
      <c r="B78" s="58" t="str">
        <f t="array" ref="B78">31&amp;IF(COUNTIFS('Agenda 2026'!$Q$2:$Q$376,DATE(2026,8,31),'Agenda 2026'!$M$2:$M$376,1)&gt;=1,CHAR(10)&amp;IFERROR(INDEX('Agenda 2026'!$B$2:$B$376,MATCH(DATE(2026,8,31)*10+1,'Agenda 2026'!$S$2:$S$376,0)),""),"")&amp;IF(COUNTIFS('Agenda 2026'!$Q$2:$Q$376,DATE(2026,8,31),'Agenda 2026'!$M$2:$M$376,1)&gt;=2,CHAR(10)&amp;IFERROR(INDEX('Agenda 2026'!$B$2:$B$376,MATCH(DATE(2026,8,31)*10+2,'Agenda 2026'!$S$2:$S$376,0)),""),"")&amp;IF(COUNTIFS('Agenda 2026'!$Q$2:$Q$376,DATE(2026,8,31),'Agenda 2026'!$M$2:$M$376,1)&gt;=3,CHAR(10)&amp;IFERROR(INDEX('Agenda 2026'!$B$2:$B$376,MATCH(DATE(2026,8,31)*10+3,'Agenda 2026'!$S$2:$S$376,0)),""),"")&amp;IF(COUNTIFS('Agenda 2026'!$Q$2:$Q$376,DATE(2026,8,31),'Agenda 2026'!$M$2:$M$376,1)&gt;=4,CHAR(10)&amp;IFERROR(INDEX('Agenda 2026'!$B$2:$B$376,MATCH(DATE(2026,8,31)*10+4,'Agenda 2026'!$S$2:$S$376,0)),""),"")&amp;IF(COUNTIFS('Agenda 2026'!$Q$2:$Q$376,DATE(2026,8,31),'Agenda 2026'!$M$2:$M$376,1)&gt;=5,CHAR(10)&amp;IFERROR(INDEX('Agenda 2026'!$B$2:$B$376,MATCH(DATE(2026,8,31)*10+5,'Agenda 2026'!$S$2:$S$376,0)),""),"")&amp;IF(COUNTIFS('Agenda 2026'!$Q$2:$Q$376,DATE(2026,8,31),'Agenda 2026'!$M$2:$M$376,1)&gt;=6,CHAR(10)&amp;IFERROR(INDEX('Agenda 2026'!$B$2:$B$376,MATCH(DATE(2026,8,31)*10+6,'Agenda 2026'!$S$2:$S$376,0)),""),"")&amp;IF(COUNTIFS('Agenda 2026'!$Q$2:$Q$376,DATE(2026,8,31),'Agenda 2026'!$M$2:$M$376,1)&gt;=7,CHAR(10)&amp;IFERROR(INDEX('Agenda 2026'!$B$2:$B$376,MATCH(DATE(2026,8,31)*10+7,'Agenda 2026'!$S$2:$S$376,0)),""),"")&amp;IF(COUNTIFS('Agenda 2026'!$Q$2:$Q$376,DATE(2026,8,31),'Agenda 2026'!$M$2:$M$376,1)&gt;=8,CHAR(10)&amp;IFERROR(INDEX('Agenda 2026'!$B$2:$B$376,MATCH(DATE(2026,8,31)*10+8,'Agenda 2026'!$S$2:$S$376,0)),""),"")&amp;IF(COUNTIFS('Agenda 2026'!$Q$2:$Q$376,DATE(2026,8,31),'Agenda 2026'!$M$2:$M$376,1)&gt;=9,CHAR(10)&amp;IFERROR(INDEX('Agenda 2026'!$B$2:$B$376,MATCH(DATE(2026,8,31)*10+9,'Agenda 2026'!$S$2:$S$376,0)),""),"")&amp;IF(COUNTIFS('Agenda 2026'!$Q$2:$Q$376,DATE(2026,8,31),'Agenda 2026'!$M$2:$M$376,1)&gt;=10,CHAR(10)&amp;IFERROR(INDEX('Agenda 2026'!$B$2:$B$376,MATCH(DATE(2026,8,31)*10+10,'Agenda 2026'!$S$2:$S$376,0)),""),"")&amp;IF(COUNTIFS('Agenda 2026'!$Q$2:$Q$376,DATE(2026,8,31),'Agenda 2026'!$M$2:$M$376,1)&gt;=11,CHAR(10)&amp;IFERROR(INDEX('Agenda 2026'!$B$2:$B$376,MATCH(DATE(2026,8,31)*10+11,'Agenda 2026'!$S$2:$S$376,0)),""),"")&amp;IF(COUNTIFS('Agenda 2026'!$Q$2:$Q$376,DATE(2026,8,31),'Agenda 2026'!$M$2:$M$376,1)&gt;=12,CHAR(10)&amp;IFERROR(INDEX('Agenda 2026'!$B$2:$B$376,MATCH(DATE(2026,8,31)*10+12,'Agenda 2026'!$S$2:$S$376,0)),""),"")</f>
        <v>31</v>
      </c>
      <c r="C78" s="57"/>
      <c r="D78" s="57"/>
      <c r="E78" s="57"/>
      <c r="F78" s="57"/>
      <c r="G78" s="57"/>
      <c r="H78" s="57"/>
    </row>
    <row r="79" spans="1:8" ht="21.75" customHeight="1" x14ac:dyDescent="0.35">
      <c r="A79" s="17"/>
      <c r="B79" s="59"/>
      <c r="C79" s="59"/>
      <c r="D79" s="59"/>
      <c r="E79" s="59"/>
      <c r="F79" s="59"/>
      <c r="G79" s="59"/>
      <c r="H79" s="59"/>
    </row>
    <row r="80" spans="1:8" ht="21.75" customHeight="1" x14ac:dyDescent="0.35">
      <c r="A80" s="17"/>
      <c r="B80" s="10" t="s">
        <v>72</v>
      </c>
      <c r="C80" s="10"/>
      <c r="D80" s="10"/>
      <c r="E80" s="10"/>
      <c r="F80" s="10"/>
      <c r="G80" s="10"/>
      <c r="H80" s="10"/>
    </row>
    <row r="81" spans="1:8" ht="15.75" customHeight="1" x14ac:dyDescent="0.35">
      <c r="A81" s="17"/>
      <c r="B81" s="56" t="s">
        <v>58</v>
      </c>
      <c r="C81" s="56" t="s">
        <v>59</v>
      </c>
      <c r="D81" s="56" t="s">
        <v>60</v>
      </c>
      <c r="E81" s="56" t="s">
        <v>61</v>
      </c>
      <c r="F81" s="56" t="s">
        <v>62</v>
      </c>
      <c r="G81" s="56" t="s">
        <v>63</v>
      </c>
      <c r="H81" s="56" t="s">
        <v>64</v>
      </c>
    </row>
    <row r="82" spans="1:8" ht="33.75" customHeight="1" x14ac:dyDescent="0.35">
      <c r="A82" s="17"/>
      <c r="B82" s="57"/>
      <c r="C82" s="58" t="str">
        <f t="array" ref="C82">1&amp;IF(COUNTIFS('Agenda 2026'!$Q$2:$Q$376,DATE(2026,9,1),'Agenda 2026'!$M$2:$M$376,1)&gt;=1,CHAR(10)&amp;IFERROR(INDEX('Agenda 2026'!$B$2:$B$376,MATCH(DATE(2026,9,1)*10+1,'Agenda 2026'!$S$2:$S$376,0)),""),"")&amp;IF(COUNTIFS('Agenda 2026'!$Q$2:$Q$376,DATE(2026,9,1),'Agenda 2026'!$M$2:$M$376,1)&gt;=2,CHAR(10)&amp;IFERROR(INDEX('Agenda 2026'!$B$2:$B$376,MATCH(DATE(2026,9,1)*10+2,'Agenda 2026'!$S$2:$S$376,0)),""),"")&amp;IF(COUNTIFS('Agenda 2026'!$Q$2:$Q$376,DATE(2026,9,1),'Agenda 2026'!$M$2:$M$376,1)&gt;=3,CHAR(10)&amp;IFERROR(INDEX('Agenda 2026'!$B$2:$B$376,MATCH(DATE(2026,9,1)*10+3,'Agenda 2026'!$S$2:$S$376,0)),""),"")&amp;IF(COUNTIFS('Agenda 2026'!$Q$2:$Q$376,DATE(2026,9,1),'Agenda 2026'!$M$2:$M$376,1)&gt;=4,CHAR(10)&amp;IFERROR(INDEX('Agenda 2026'!$B$2:$B$376,MATCH(DATE(2026,9,1)*10+4,'Agenda 2026'!$S$2:$S$376,0)),""),"")&amp;IF(COUNTIFS('Agenda 2026'!$Q$2:$Q$376,DATE(2026,9,1),'Agenda 2026'!$M$2:$M$376,1)&gt;=5,CHAR(10)&amp;IFERROR(INDEX('Agenda 2026'!$B$2:$B$376,MATCH(DATE(2026,9,1)*10+5,'Agenda 2026'!$S$2:$S$376,0)),""),"")&amp;IF(COUNTIFS('Agenda 2026'!$Q$2:$Q$376,DATE(2026,9,1),'Agenda 2026'!$M$2:$M$376,1)&gt;=6,CHAR(10)&amp;IFERROR(INDEX('Agenda 2026'!$B$2:$B$376,MATCH(DATE(2026,9,1)*10+6,'Agenda 2026'!$S$2:$S$376,0)),""),"")&amp;IF(COUNTIFS('Agenda 2026'!$Q$2:$Q$376,DATE(2026,9,1),'Agenda 2026'!$M$2:$M$376,1)&gt;=7,CHAR(10)&amp;IFERROR(INDEX('Agenda 2026'!$B$2:$B$376,MATCH(DATE(2026,9,1)*10+7,'Agenda 2026'!$S$2:$S$376,0)),""),"")&amp;IF(COUNTIFS('Agenda 2026'!$Q$2:$Q$376,DATE(2026,9,1),'Agenda 2026'!$M$2:$M$376,1)&gt;=8,CHAR(10)&amp;IFERROR(INDEX('Agenda 2026'!$B$2:$B$376,MATCH(DATE(2026,9,1)*10+8,'Agenda 2026'!$S$2:$S$376,0)),""),"")&amp;IF(COUNTIFS('Agenda 2026'!$Q$2:$Q$376,DATE(2026,9,1),'Agenda 2026'!$M$2:$M$376,1)&gt;=9,CHAR(10)&amp;IFERROR(INDEX('Agenda 2026'!$B$2:$B$376,MATCH(DATE(2026,9,1)*10+9,'Agenda 2026'!$S$2:$S$376,0)),""),"")&amp;IF(COUNTIFS('Agenda 2026'!$Q$2:$Q$376,DATE(2026,9,1),'Agenda 2026'!$M$2:$M$376,1)&gt;=10,CHAR(10)&amp;IFERROR(INDEX('Agenda 2026'!$B$2:$B$376,MATCH(DATE(2026,9,1)*10+10,'Agenda 2026'!$S$2:$S$376,0)),""),"")&amp;IF(COUNTIFS('Agenda 2026'!$Q$2:$Q$376,DATE(2026,9,1),'Agenda 2026'!$M$2:$M$376,1)&gt;=11,CHAR(10)&amp;IFERROR(INDEX('Agenda 2026'!$B$2:$B$376,MATCH(DATE(2026,9,1)*10+11,'Agenda 2026'!$S$2:$S$376,0)),""),"")&amp;IF(COUNTIFS('Agenda 2026'!$Q$2:$Q$376,DATE(2026,9,1),'Agenda 2026'!$M$2:$M$376,1)&gt;=12,CHAR(10)&amp;IFERROR(INDEX('Agenda 2026'!$B$2:$B$376,MATCH(DATE(2026,9,1)*10+12,'Agenda 2026'!$S$2:$S$376,0)),""),"")</f>
        <v>1</v>
      </c>
      <c r="D82" s="58" t="str">
        <f t="array" ref="D82">2&amp;IF(COUNTIFS('Agenda 2026'!$Q$2:$Q$376,DATE(2026,9,2),'Agenda 2026'!$M$2:$M$376,1)&gt;=1,CHAR(10)&amp;IFERROR(INDEX('Agenda 2026'!$B$2:$B$376,MATCH(DATE(2026,9,2)*10+1,'Agenda 2026'!$S$2:$S$376,0)),""),"")&amp;IF(COUNTIFS('Agenda 2026'!$Q$2:$Q$376,DATE(2026,9,2),'Agenda 2026'!$M$2:$M$376,1)&gt;=2,CHAR(10)&amp;IFERROR(INDEX('Agenda 2026'!$B$2:$B$376,MATCH(DATE(2026,9,2)*10+2,'Agenda 2026'!$S$2:$S$376,0)),""),"")&amp;IF(COUNTIFS('Agenda 2026'!$Q$2:$Q$376,DATE(2026,9,2),'Agenda 2026'!$M$2:$M$376,1)&gt;=3,CHAR(10)&amp;IFERROR(INDEX('Agenda 2026'!$B$2:$B$376,MATCH(DATE(2026,9,2)*10+3,'Agenda 2026'!$S$2:$S$376,0)),""),"")&amp;IF(COUNTIFS('Agenda 2026'!$Q$2:$Q$376,DATE(2026,9,2),'Agenda 2026'!$M$2:$M$376,1)&gt;=4,CHAR(10)&amp;IFERROR(INDEX('Agenda 2026'!$B$2:$B$376,MATCH(DATE(2026,9,2)*10+4,'Agenda 2026'!$S$2:$S$376,0)),""),"")&amp;IF(COUNTIFS('Agenda 2026'!$Q$2:$Q$376,DATE(2026,9,2),'Agenda 2026'!$M$2:$M$376,1)&gt;=5,CHAR(10)&amp;IFERROR(INDEX('Agenda 2026'!$B$2:$B$376,MATCH(DATE(2026,9,2)*10+5,'Agenda 2026'!$S$2:$S$376,0)),""),"")&amp;IF(COUNTIFS('Agenda 2026'!$Q$2:$Q$376,DATE(2026,9,2),'Agenda 2026'!$M$2:$M$376,1)&gt;=6,CHAR(10)&amp;IFERROR(INDEX('Agenda 2026'!$B$2:$B$376,MATCH(DATE(2026,9,2)*10+6,'Agenda 2026'!$S$2:$S$376,0)),""),"")&amp;IF(COUNTIFS('Agenda 2026'!$Q$2:$Q$376,DATE(2026,9,2),'Agenda 2026'!$M$2:$M$376,1)&gt;=7,CHAR(10)&amp;IFERROR(INDEX('Agenda 2026'!$B$2:$B$376,MATCH(DATE(2026,9,2)*10+7,'Agenda 2026'!$S$2:$S$376,0)),""),"")&amp;IF(COUNTIFS('Agenda 2026'!$Q$2:$Q$376,DATE(2026,9,2),'Agenda 2026'!$M$2:$M$376,1)&gt;=8,CHAR(10)&amp;IFERROR(INDEX('Agenda 2026'!$B$2:$B$376,MATCH(DATE(2026,9,2)*10+8,'Agenda 2026'!$S$2:$S$376,0)),""),"")&amp;IF(COUNTIFS('Agenda 2026'!$Q$2:$Q$376,DATE(2026,9,2),'Agenda 2026'!$M$2:$M$376,1)&gt;=9,CHAR(10)&amp;IFERROR(INDEX('Agenda 2026'!$B$2:$B$376,MATCH(DATE(2026,9,2)*10+9,'Agenda 2026'!$S$2:$S$376,0)),""),"")&amp;IF(COUNTIFS('Agenda 2026'!$Q$2:$Q$376,DATE(2026,9,2),'Agenda 2026'!$M$2:$M$376,1)&gt;=10,CHAR(10)&amp;IFERROR(INDEX('Agenda 2026'!$B$2:$B$376,MATCH(DATE(2026,9,2)*10+10,'Agenda 2026'!$S$2:$S$376,0)),""),"")&amp;IF(COUNTIFS('Agenda 2026'!$Q$2:$Q$376,DATE(2026,9,2),'Agenda 2026'!$M$2:$M$376,1)&gt;=11,CHAR(10)&amp;IFERROR(INDEX('Agenda 2026'!$B$2:$B$376,MATCH(DATE(2026,9,2)*10+11,'Agenda 2026'!$S$2:$S$376,0)),""),"")&amp;IF(COUNTIFS('Agenda 2026'!$Q$2:$Q$376,DATE(2026,9,2),'Agenda 2026'!$M$2:$M$376,1)&gt;=12,CHAR(10)&amp;IFERROR(INDEX('Agenda 2026'!$B$2:$B$376,MATCH(DATE(2026,9,2)*10+12,'Agenda 2026'!$S$2:$S$376,0)),""),"")</f>
        <v>2</v>
      </c>
      <c r="E82" s="58" t="str">
        <f t="array" ref="E82">3&amp;IF(COUNTIFS('Agenda 2026'!$Q$2:$Q$376,DATE(2026,9,3),'Agenda 2026'!$M$2:$M$376,1)&gt;=1,CHAR(10)&amp;IFERROR(INDEX('Agenda 2026'!$B$2:$B$376,MATCH(DATE(2026,9,3)*10+1,'Agenda 2026'!$S$2:$S$376,0)),""),"")&amp;IF(COUNTIFS('Agenda 2026'!$Q$2:$Q$376,DATE(2026,9,3),'Agenda 2026'!$M$2:$M$376,1)&gt;=2,CHAR(10)&amp;IFERROR(INDEX('Agenda 2026'!$B$2:$B$376,MATCH(DATE(2026,9,3)*10+2,'Agenda 2026'!$S$2:$S$376,0)),""),"")&amp;IF(COUNTIFS('Agenda 2026'!$Q$2:$Q$376,DATE(2026,9,3),'Agenda 2026'!$M$2:$M$376,1)&gt;=3,CHAR(10)&amp;IFERROR(INDEX('Agenda 2026'!$B$2:$B$376,MATCH(DATE(2026,9,3)*10+3,'Agenda 2026'!$S$2:$S$376,0)),""),"")&amp;IF(COUNTIFS('Agenda 2026'!$Q$2:$Q$376,DATE(2026,9,3),'Agenda 2026'!$M$2:$M$376,1)&gt;=4,CHAR(10)&amp;IFERROR(INDEX('Agenda 2026'!$B$2:$B$376,MATCH(DATE(2026,9,3)*10+4,'Agenda 2026'!$S$2:$S$376,0)),""),"")&amp;IF(COUNTIFS('Agenda 2026'!$Q$2:$Q$376,DATE(2026,9,3),'Agenda 2026'!$M$2:$M$376,1)&gt;=5,CHAR(10)&amp;IFERROR(INDEX('Agenda 2026'!$B$2:$B$376,MATCH(DATE(2026,9,3)*10+5,'Agenda 2026'!$S$2:$S$376,0)),""),"")&amp;IF(COUNTIFS('Agenda 2026'!$Q$2:$Q$376,DATE(2026,9,3),'Agenda 2026'!$M$2:$M$376,1)&gt;=6,CHAR(10)&amp;IFERROR(INDEX('Agenda 2026'!$B$2:$B$376,MATCH(DATE(2026,9,3)*10+6,'Agenda 2026'!$S$2:$S$376,0)),""),"")&amp;IF(COUNTIFS('Agenda 2026'!$Q$2:$Q$376,DATE(2026,9,3),'Agenda 2026'!$M$2:$M$376,1)&gt;=7,CHAR(10)&amp;IFERROR(INDEX('Agenda 2026'!$B$2:$B$376,MATCH(DATE(2026,9,3)*10+7,'Agenda 2026'!$S$2:$S$376,0)),""),"")&amp;IF(COUNTIFS('Agenda 2026'!$Q$2:$Q$376,DATE(2026,9,3),'Agenda 2026'!$M$2:$M$376,1)&gt;=8,CHAR(10)&amp;IFERROR(INDEX('Agenda 2026'!$B$2:$B$376,MATCH(DATE(2026,9,3)*10+8,'Agenda 2026'!$S$2:$S$376,0)),""),"")&amp;IF(COUNTIFS('Agenda 2026'!$Q$2:$Q$376,DATE(2026,9,3),'Agenda 2026'!$M$2:$M$376,1)&gt;=9,CHAR(10)&amp;IFERROR(INDEX('Agenda 2026'!$B$2:$B$376,MATCH(DATE(2026,9,3)*10+9,'Agenda 2026'!$S$2:$S$376,0)),""),"")&amp;IF(COUNTIFS('Agenda 2026'!$Q$2:$Q$376,DATE(2026,9,3),'Agenda 2026'!$M$2:$M$376,1)&gt;=10,CHAR(10)&amp;IFERROR(INDEX('Agenda 2026'!$B$2:$B$376,MATCH(DATE(2026,9,3)*10+10,'Agenda 2026'!$S$2:$S$376,0)),""),"")&amp;IF(COUNTIFS('Agenda 2026'!$Q$2:$Q$376,DATE(2026,9,3),'Agenda 2026'!$M$2:$M$376,1)&gt;=11,CHAR(10)&amp;IFERROR(INDEX('Agenda 2026'!$B$2:$B$376,MATCH(DATE(2026,9,3)*10+11,'Agenda 2026'!$S$2:$S$376,0)),""),"")&amp;IF(COUNTIFS('Agenda 2026'!$Q$2:$Q$376,DATE(2026,9,3),'Agenda 2026'!$M$2:$M$376,1)&gt;=12,CHAR(10)&amp;IFERROR(INDEX('Agenda 2026'!$B$2:$B$376,MATCH(DATE(2026,9,3)*10+12,'Agenda 2026'!$S$2:$S$376,0)),""),"")</f>
        <v>3</v>
      </c>
      <c r="F82" s="58" t="str">
        <f t="array" ref="F82">4&amp;IF(COUNTIFS('Agenda 2026'!$Q$2:$Q$376,DATE(2026,9,4),'Agenda 2026'!$M$2:$M$376,1)&gt;=1,CHAR(10)&amp;IFERROR(INDEX('Agenda 2026'!$B$2:$B$376,MATCH(DATE(2026,9,4)*10+1,'Agenda 2026'!$S$2:$S$376,0)),""),"")&amp;IF(COUNTIFS('Agenda 2026'!$Q$2:$Q$376,DATE(2026,9,4),'Agenda 2026'!$M$2:$M$376,1)&gt;=2,CHAR(10)&amp;IFERROR(INDEX('Agenda 2026'!$B$2:$B$376,MATCH(DATE(2026,9,4)*10+2,'Agenda 2026'!$S$2:$S$376,0)),""),"")&amp;IF(COUNTIFS('Agenda 2026'!$Q$2:$Q$376,DATE(2026,9,4),'Agenda 2026'!$M$2:$M$376,1)&gt;=3,CHAR(10)&amp;IFERROR(INDEX('Agenda 2026'!$B$2:$B$376,MATCH(DATE(2026,9,4)*10+3,'Agenda 2026'!$S$2:$S$376,0)),""),"")&amp;IF(COUNTIFS('Agenda 2026'!$Q$2:$Q$376,DATE(2026,9,4),'Agenda 2026'!$M$2:$M$376,1)&gt;=4,CHAR(10)&amp;IFERROR(INDEX('Agenda 2026'!$B$2:$B$376,MATCH(DATE(2026,9,4)*10+4,'Agenda 2026'!$S$2:$S$376,0)),""),"")&amp;IF(COUNTIFS('Agenda 2026'!$Q$2:$Q$376,DATE(2026,9,4),'Agenda 2026'!$M$2:$M$376,1)&gt;=5,CHAR(10)&amp;IFERROR(INDEX('Agenda 2026'!$B$2:$B$376,MATCH(DATE(2026,9,4)*10+5,'Agenda 2026'!$S$2:$S$376,0)),""),"")&amp;IF(COUNTIFS('Agenda 2026'!$Q$2:$Q$376,DATE(2026,9,4),'Agenda 2026'!$M$2:$M$376,1)&gt;=6,CHAR(10)&amp;IFERROR(INDEX('Agenda 2026'!$B$2:$B$376,MATCH(DATE(2026,9,4)*10+6,'Agenda 2026'!$S$2:$S$376,0)),""),"")&amp;IF(COUNTIFS('Agenda 2026'!$Q$2:$Q$376,DATE(2026,9,4),'Agenda 2026'!$M$2:$M$376,1)&gt;=7,CHAR(10)&amp;IFERROR(INDEX('Agenda 2026'!$B$2:$B$376,MATCH(DATE(2026,9,4)*10+7,'Agenda 2026'!$S$2:$S$376,0)),""),"")&amp;IF(COUNTIFS('Agenda 2026'!$Q$2:$Q$376,DATE(2026,9,4),'Agenda 2026'!$M$2:$M$376,1)&gt;=8,CHAR(10)&amp;IFERROR(INDEX('Agenda 2026'!$B$2:$B$376,MATCH(DATE(2026,9,4)*10+8,'Agenda 2026'!$S$2:$S$376,0)),""),"")&amp;IF(COUNTIFS('Agenda 2026'!$Q$2:$Q$376,DATE(2026,9,4),'Agenda 2026'!$M$2:$M$376,1)&gt;=9,CHAR(10)&amp;IFERROR(INDEX('Agenda 2026'!$B$2:$B$376,MATCH(DATE(2026,9,4)*10+9,'Agenda 2026'!$S$2:$S$376,0)),""),"")&amp;IF(COUNTIFS('Agenda 2026'!$Q$2:$Q$376,DATE(2026,9,4),'Agenda 2026'!$M$2:$M$376,1)&gt;=10,CHAR(10)&amp;IFERROR(INDEX('Agenda 2026'!$B$2:$B$376,MATCH(DATE(2026,9,4)*10+10,'Agenda 2026'!$S$2:$S$376,0)),""),"")&amp;IF(COUNTIFS('Agenda 2026'!$Q$2:$Q$376,DATE(2026,9,4),'Agenda 2026'!$M$2:$M$376,1)&gt;=11,CHAR(10)&amp;IFERROR(INDEX('Agenda 2026'!$B$2:$B$376,MATCH(DATE(2026,9,4)*10+11,'Agenda 2026'!$S$2:$S$376,0)),""),"")&amp;IF(COUNTIFS('Agenda 2026'!$Q$2:$Q$376,DATE(2026,9,4),'Agenda 2026'!$M$2:$M$376,1)&gt;=12,CHAR(10)&amp;IFERROR(INDEX('Agenda 2026'!$B$2:$B$376,MATCH(DATE(2026,9,4)*10+12,'Agenda 2026'!$S$2:$S$376,0)),""),"")</f>
        <v>4</v>
      </c>
      <c r="G82" s="58" t="str">
        <f t="array" ref="G82">5&amp;IF(COUNTIFS('Agenda 2026'!$Q$2:$Q$376,DATE(2026,9,5),'Agenda 2026'!$M$2:$M$376,1)&gt;=1,CHAR(10)&amp;IFERROR(INDEX('Agenda 2026'!$B$2:$B$376,MATCH(DATE(2026,9,5)*10+1,'Agenda 2026'!$S$2:$S$376,0)),""),"")&amp;IF(COUNTIFS('Agenda 2026'!$Q$2:$Q$376,DATE(2026,9,5),'Agenda 2026'!$M$2:$M$376,1)&gt;=2,CHAR(10)&amp;IFERROR(INDEX('Agenda 2026'!$B$2:$B$376,MATCH(DATE(2026,9,5)*10+2,'Agenda 2026'!$S$2:$S$376,0)),""),"")&amp;IF(COUNTIFS('Agenda 2026'!$Q$2:$Q$376,DATE(2026,9,5),'Agenda 2026'!$M$2:$M$376,1)&gt;=3,CHAR(10)&amp;IFERROR(INDEX('Agenda 2026'!$B$2:$B$376,MATCH(DATE(2026,9,5)*10+3,'Agenda 2026'!$S$2:$S$376,0)),""),"")&amp;IF(COUNTIFS('Agenda 2026'!$Q$2:$Q$376,DATE(2026,9,5),'Agenda 2026'!$M$2:$M$376,1)&gt;=4,CHAR(10)&amp;IFERROR(INDEX('Agenda 2026'!$B$2:$B$376,MATCH(DATE(2026,9,5)*10+4,'Agenda 2026'!$S$2:$S$376,0)),""),"")&amp;IF(COUNTIFS('Agenda 2026'!$Q$2:$Q$376,DATE(2026,9,5),'Agenda 2026'!$M$2:$M$376,1)&gt;=5,CHAR(10)&amp;IFERROR(INDEX('Agenda 2026'!$B$2:$B$376,MATCH(DATE(2026,9,5)*10+5,'Agenda 2026'!$S$2:$S$376,0)),""),"")&amp;IF(COUNTIFS('Agenda 2026'!$Q$2:$Q$376,DATE(2026,9,5),'Agenda 2026'!$M$2:$M$376,1)&gt;=6,CHAR(10)&amp;IFERROR(INDEX('Agenda 2026'!$B$2:$B$376,MATCH(DATE(2026,9,5)*10+6,'Agenda 2026'!$S$2:$S$376,0)),""),"")&amp;IF(COUNTIFS('Agenda 2026'!$Q$2:$Q$376,DATE(2026,9,5),'Agenda 2026'!$M$2:$M$376,1)&gt;=7,CHAR(10)&amp;IFERROR(INDEX('Agenda 2026'!$B$2:$B$376,MATCH(DATE(2026,9,5)*10+7,'Agenda 2026'!$S$2:$S$376,0)),""),"")&amp;IF(COUNTIFS('Agenda 2026'!$Q$2:$Q$376,DATE(2026,9,5),'Agenda 2026'!$M$2:$M$376,1)&gt;=8,CHAR(10)&amp;IFERROR(INDEX('Agenda 2026'!$B$2:$B$376,MATCH(DATE(2026,9,5)*10+8,'Agenda 2026'!$S$2:$S$376,0)),""),"")&amp;IF(COUNTIFS('Agenda 2026'!$Q$2:$Q$376,DATE(2026,9,5),'Agenda 2026'!$M$2:$M$376,1)&gt;=9,CHAR(10)&amp;IFERROR(INDEX('Agenda 2026'!$B$2:$B$376,MATCH(DATE(2026,9,5)*10+9,'Agenda 2026'!$S$2:$S$376,0)),""),"")&amp;IF(COUNTIFS('Agenda 2026'!$Q$2:$Q$376,DATE(2026,9,5),'Agenda 2026'!$M$2:$M$376,1)&gt;=10,CHAR(10)&amp;IFERROR(INDEX('Agenda 2026'!$B$2:$B$376,MATCH(DATE(2026,9,5)*10+10,'Agenda 2026'!$S$2:$S$376,0)),""),"")&amp;IF(COUNTIFS('Agenda 2026'!$Q$2:$Q$376,DATE(2026,9,5),'Agenda 2026'!$M$2:$M$376,1)&gt;=11,CHAR(10)&amp;IFERROR(INDEX('Agenda 2026'!$B$2:$B$376,MATCH(DATE(2026,9,5)*10+11,'Agenda 2026'!$S$2:$S$376,0)),""),"")&amp;IF(COUNTIFS('Agenda 2026'!$Q$2:$Q$376,DATE(2026,9,5),'Agenda 2026'!$M$2:$M$376,1)&gt;=12,CHAR(10)&amp;IFERROR(INDEX('Agenda 2026'!$B$2:$B$376,MATCH(DATE(2026,9,5)*10+12,'Agenda 2026'!$S$2:$S$376,0)),""),"")</f>
        <v>5</v>
      </c>
      <c r="H82" s="58" t="str">
        <f t="array" ref="H82">6&amp;IF(COUNTIFS('Agenda 2026'!$Q$2:$Q$376,DATE(2026,9,6),'Agenda 2026'!$M$2:$M$376,1)&gt;=1,CHAR(10)&amp;IFERROR(INDEX('Agenda 2026'!$B$2:$B$376,MATCH(DATE(2026,9,6)*10+1,'Agenda 2026'!$S$2:$S$376,0)),""),"")&amp;IF(COUNTIFS('Agenda 2026'!$Q$2:$Q$376,DATE(2026,9,6),'Agenda 2026'!$M$2:$M$376,1)&gt;=2,CHAR(10)&amp;IFERROR(INDEX('Agenda 2026'!$B$2:$B$376,MATCH(DATE(2026,9,6)*10+2,'Agenda 2026'!$S$2:$S$376,0)),""),"")&amp;IF(COUNTIFS('Agenda 2026'!$Q$2:$Q$376,DATE(2026,9,6),'Agenda 2026'!$M$2:$M$376,1)&gt;=3,CHAR(10)&amp;IFERROR(INDEX('Agenda 2026'!$B$2:$B$376,MATCH(DATE(2026,9,6)*10+3,'Agenda 2026'!$S$2:$S$376,0)),""),"")&amp;IF(COUNTIFS('Agenda 2026'!$Q$2:$Q$376,DATE(2026,9,6),'Agenda 2026'!$M$2:$M$376,1)&gt;=4,CHAR(10)&amp;IFERROR(INDEX('Agenda 2026'!$B$2:$B$376,MATCH(DATE(2026,9,6)*10+4,'Agenda 2026'!$S$2:$S$376,0)),""),"")&amp;IF(COUNTIFS('Agenda 2026'!$Q$2:$Q$376,DATE(2026,9,6),'Agenda 2026'!$M$2:$M$376,1)&gt;=5,CHAR(10)&amp;IFERROR(INDEX('Agenda 2026'!$B$2:$B$376,MATCH(DATE(2026,9,6)*10+5,'Agenda 2026'!$S$2:$S$376,0)),""),"")&amp;IF(COUNTIFS('Agenda 2026'!$Q$2:$Q$376,DATE(2026,9,6),'Agenda 2026'!$M$2:$M$376,1)&gt;=6,CHAR(10)&amp;IFERROR(INDEX('Agenda 2026'!$B$2:$B$376,MATCH(DATE(2026,9,6)*10+6,'Agenda 2026'!$S$2:$S$376,0)),""),"")&amp;IF(COUNTIFS('Agenda 2026'!$Q$2:$Q$376,DATE(2026,9,6),'Agenda 2026'!$M$2:$M$376,1)&gt;=7,CHAR(10)&amp;IFERROR(INDEX('Agenda 2026'!$B$2:$B$376,MATCH(DATE(2026,9,6)*10+7,'Agenda 2026'!$S$2:$S$376,0)),""),"")&amp;IF(COUNTIFS('Agenda 2026'!$Q$2:$Q$376,DATE(2026,9,6),'Agenda 2026'!$M$2:$M$376,1)&gt;=8,CHAR(10)&amp;IFERROR(INDEX('Agenda 2026'!$B$2:$B$376,MATCH(DATE(2026,9,6)*10+8,'Agenda 2026'!$S$2:$S$376,0)),""),"")&amp;IF(COUNTIFS('Agenda 2026'!$Q$2:$Q$376,DATE(2026,9,6),'Agenda 2026'!$M$2:$M$376,1)&gt;=9,CHAR(10)&amp;IFERROR(INDEX('Agenda 2026'!$B$2:$B$376,MATCH(DATE(2026,9,6)*10+9,'Agenda 2026'!$S$2:$S$376,0)),""),"")&amp;IF(COUNTIFS('Agenda 2026'!$Q$2:$Q$376,DATE(2026,9,6),'Agenda 2026'!$M$2:$M$376,1)&gt;=10,CHAR(10)&amp;IFERROR(INDEX('Agenda 2026'!$B$2:$B$376,MATCH(DATE(2026,9,6)*10+10,'Agenda 2026'!$S$2:$S$376,0)),""),"")&amp;IF(COUNTIFS('Agenda 2026'!$Q$2:$Q$376,DATE(2026,9,6),'Agenda 2026'!$M$2:$M$376,1)&gt;=11,CHAR(10)&amp;IFERROR(INDEX('Agenda 2026'!$B$2:$B$376,MATCH(DATE(2026,9,6)*10+11,'Agenda 2026'!$S$2:$S$376,0)),""),"")&amp;IF(COUNTIFS('Agenda 2026'!$Q$2:$Q$376,DATE(2026,9,6),'Agenda 2026'!$M$2:$M$376,1)&gt;=12,CHAR(10)&amp;IFERROR(INDEX('Agenda 2026'!$B$2:$B$376,MATCH(DATE(2026,9,6)*10+12,'Agenda 2026'!$S$2:$S$376,0)),""),"")</f>
        <v>6</v>
      </c>
    </row>
    <row r="83" spans="1:8" ht="45.75" customHeight="1" x14ac:dyDescent="0.35">
      <c r="A83" s="17"/>
      <c r="B83" s="58" t="str">
        <f t="array" ref="B83">7&amp;IF(COUNTIFS('Agenda 2026'!$Q$2:$Q$376,DATE(2026,9,7),'Agenda 2026'!$M$2:$M$376,1)&gt;=1,CHAR(10)&amp;IFERROR(INDEX('Agenda 2026'!$B$2:$B$376,MATCH(DATE(2026,9,7)*10+1,'Agenda 2026'!$S$2:$S$376,0)),""),"")&amp;IF(COUNTIFS('Agenda 2026'!$Q$2:$Q$376,DATE(2026,9,7),'Agenda 2026'!$M$2:$M$376,1)&gt;=2,CHAR(10)&amp;IFERROR(INDEX('Agenda 2026'!$B$2:$B$376,MATCH(DATE(2026,9,7)*10+2,'Agenda 2026'!$S$2:$S$376,0)),""),"")&amp;IF(COUNTIFS('Agenda 2026'!$Q$2:$Q$376,DATE(2026,9,7),'Agenda 2026'!$M$2:$M$376,1)&gt;=3,CHAR(10)&amp;IFERROR(INDEX('Agenda 2026'!$B$2:$B$376,MATCH(DATE(2026,9,7)*10+3,'Agenda 2026'!$S$2:$S$376,0)),""),"")&amp;IF(COUNTIFS('Agenda 2026'!$Q$2:$Q$376,DATE(2026,9,7),'Agenda 2026'!$M$2:$M$376,1)&gt;=4,CHAR(10)&amp;IFERROR(INDEX('Agenda 2026'!$B$2:$B$376,MATCH(DATE(2026,9,7)*10+4,'Agenda 2026'!$S$2:$S$376,0)),""),"")&amp;IF(COUNTIFS('Agenda 2026'!$Q$2:$Q$376,DATE(2026,9,7),'Agenda 2026'!$M$2:$M$376,1)&gt;=5,CHAR(10)&amp;IFERROR(INDEX('Agenda 2026'!$B$2:$B$376,MATCH(DATE(2026,9,7)*10+5,'Agenda 2026'!$S$2:$S$376,0)),""),"")&amp;IF(COUNTIFS('Agenda 2026'!$Q$2:$Q$376,DATE(2026,9,7),'Agenda 2026'!$M$2:$M$376,1)&gt;=6,CHAR(10)&amp;IFERROR(INDEX('Agenda 2026'!$B$2:$B$376,MATCH(DATE(2026,9,7)*10+6,'Agenda 2026'!$S$2:$S$376,0)),""),"")&amp;IF(COUNTIFS('Agenda 2026'!$Q$2:$Q$376,DATE(2026,9,7),'Agenda 2026'!$M$2:$M$376,1)&gt;=7,CHAR(10)&amp;IFERROR(INDEX('Agenda 2026'!$B$2:$B$376,MATCH(DATE(2026,9,7)*10+7,'Agenda 2026'!$S$2:$S$376,0)),""),"")&amp;IF(COUNTIFS('Agenda 2026'!$Q$2:$Q$376,DATE(2026,9,7),'Agenda 2026'!$M$2:$M$376,1)&gt;=8,CHAR(10)&amp;IFERROR(INDEX('Agenda 2026'!$B$2:$B$376,MATCH(DATE(2026,9,7)*10+8,'Agenda 2026'!$S$2:$S$376,0)),""),"")&amp;IF(COUNTIFS('Agenda 2026'!$Q$2:$Q$376,DATE(2026,9,7),'Agenda 2026'!$M$2:$M$376,1)&gt;=9,CHAR(10)&amp;IFERROR(INDEX('Agenda 2026'!$B$2:$B$376,MATCH(DATE(2026,9,7)*10+9,'Agenda 2026'!$S$2:$S$376,0)),""),"")&amp;IF(COUNTIFS('Agenda 2026'!$Q$2:$Q$376,DATE(2026,9,7),'Agenda 2026'!$M$2:$M$376,1)&gt;=10,CHAR(10)&amp;IFERROR(INDEX('Agenda 2026'!$B$2:$B$376,MATCH(DATE(2026,9,7)*10+10,'Agenda 2026'!$S$2:$S$376,0)),""),"")&amp;IF(COUNTIFS('Agenda 2026'!$Q$2:$Q$376,DATE(2026,9,7),'Agenda 2026'!$M$2:$M$376,1)&gt;=11,CHAR(10)&amp;IFERROR(INDEX('Agenda 2026'!$B$2:$B$376,MATCH(DATE(2026,9,7)*10+11,'Agenda 2026'!$S$2:$S$376,0)),""),"")&amp;IF(COUNTIFS('Agenda 2026'!$Q$2:$Q$376,DATE(2026,9,7),'Agenda 2026'!$M$2:$M$376,1)&gt;=12,CHAR(10)&amp;IFERROR(INDEX('Agenda 2026'!$B$2:$B$376,MATCH(DATE(2026,9,7)*10+12,'Agenda 2026'!$S$2:$S$376,0)),""),"")</f>
        <v>7</v>
      </c>
      <c r="C83" s="58" t="str">
        <f t="array" ref="C83">8&amp;IF(COUNTIFS('Agenda 2026'!$Q$2:$Q$376,DATE(2026,9,8),'Agenda 2026'!$M$2:$M$376,1)&gt;=1,CHAR(10)&amp;IFERROR(INDEX('Agenda 2026'!$B$2:$B$376,MATCH(DATE(2026,9,8)*10+1,'Agenda 2026'!$S$2:$S$376,0)),""),"")&amp;IF(COUNTIFS('Agenda 2026'!$Q$2:$Q$376,DATE(2026,9,8),'Agenda 2026'!$M$2:$M$376,1)&gt;=2,CHAR(10)&amp;IFERROR(INDEX('Agenda 2026'!$B$2:$B$376,MATCH(DATE(2026,9,8)*10+2,'Agenda 2026'!$S$2:$S$376,0)),""),"")&amp;IF(COUNTIFS('Agenda 2026'!$Q$2:$Q$376,DATE(2026,9,8),'Agenda 2026'!$M$2:$M$376,1)&gt;=3,CHAR(10)&amp;IFERROR(INDEX('Agenda 2026'!$B$2:$B$376,MATCH(DATE(2026,9,8)*10+3,'Agenda 2026'!$S$2:$S$376,0)),""),"")&amp;IF(COUNTIFS('Agenda 2026'!$Q$2:$Q$376,DATE(2026,9,8),'Agenda 2026'!$M$2:$M$376,1)&gt;=4,CHAR(10)&amp;IFERROR(INDEX('Agenda 2026'!$B$2:$B$376,MATCH(DATE(2026,9,8)*10+4,'Agenda 2026'!$S$2:$S$376,0)),""),"")&amp;IF(COUNTIFS('Agenda 2026'!$Q$2:$Q$376,DATE(2026,9,8),'Agenda 2026'!$M$2:$M$376,1)&gt;=5,CHAR(10)&amp;IFERROR(INDEX('Agenda 2026'!$B$2:$B$376,MATCH(DATE(2026,9,8)*10+5,'Agenda 2026'!$S$2:$S$376,0)),""),"")&amp;IF(COUNTIFS('Agenda 2026'!$Q$2:$Q$376,DATE(2026,9,8),'Agenda 2026'!$M$2:$M$376,1)&gt;=6,CHAR(10)&amp;IFERROR(INDEX('Agenda 2026'!$B$2:$B$376,MATCH(DATE(2026,9,8)*10+6,'Agenda 2026'!$S$2:$S$376,0)),""),"")&amp;IF(COUNTIFS('Agenda 2026'!$Q$2:$Q$376,DATE(2026,9,8),'Agenda 2026'!$M$2:$M$376,1)&gt;=7,CHAR(10)&amp;IFERROR(INDEX('Agenda 2026'!$B$2:$B$376,MATCH(DATE(2026,9,8)*10+7,'Agenda 2026'!$S$2:$S$376,0)),""),"")&amp;IF(COUNTIFS('Agenda 2026'!$Q$2:$Q$376,DATE(2026,9,8),'Agenda 2026'!$M$2:$M$376,1)&gt;=8,CHAR(10)&amp;IFERROR(INDEX('Agenda 2026'!$B$2:$B$376,MATCH(DATE(2026,9,8)*10+8,'Agenda 2026'!$S$2:$S$376,0)),""),"")&amp;IF(COUNTIFS('Agenda 2026'!$Q$2:$Q$376,DATE(2026,9,8),'Agenda 2026'!$M$2:$M$376,1)&gt;=9,CHAR(10)&amp;IFERROR(INDEX('Agenda 2026'!$B$2:$B$376,MATCH(DATE(2026,9,8)*10+9,'Agenda 2026'!$S$2:$S$376,0)),""),"")&amp;IF(COUNTIFS('Agenda 2026'!$Q$2:$Q$376,DATE(2026,9,8),'Agenda 2026'!$M$2:$M$376,1)&gt;=10,CHAR(10)&amp;IFERROR(INDEX('Agenda 2026'!$B$2:$B$376,MATCH(DATE(2026,9,8)*10+10,'Agenda 2026'!$S$2:$S$376,0)),""),"")&amp;IF(COUNTIFS('Agenda 2026'!$Q$2:$Q$376,DATE(2026,9,8),'Agenda 2026'!$M$2:$M$376,1)&gt;=11,CHAR(10)&amp;IFERROR(INDEX('Agenda 2026'!$B$2:$B$376,MATCH(DATE(2026,9,8)*10+11,'Agenda 2026'!$S$2:$S$376,0)),""),"")&amp;IF(COUNTIFS('Agenda 2026'!$Q$2:$Q$376,DATE(2026,9,8),'Agenda 2026'!$M$2:$M$376,1)&gt;=12,CHAR(10)&amp;IFERROR(INDEX('Agenda 2026'!$B$2:$B$376,MATCH(DATE(2026,9,8)*10+12,'Agenda 2026'!$S$2:$S$376,0)),""),"")</f>
        <v>8</v>
      </c>
      <c r="D83" s="58" t="str">
        <f t="array" ref="D83">9&amp;IF(COUNTIFS('Agenda 2026'!$Q$2:$Q$376,DATE(2026,9,9),'Agenda 2026'!$M$2:$M$376,1)&gt;=1,CHAR(10)&amp;IFERROR(INDEX('Agenda 2026'!$B$2:$B$376,MATCH(DATE(2026,9,9)*10+1,'Agenda 2026'!$S$2:$S$376,0)),""),"")&amp;IF(COUNTIFS('Agenda 2026'!$Q$2:$Q$376,DATE(2026,9,9),'Agenda 2026'!$M$2:$M$376,1)&gt;=2,CHAR(10)&amp;IFERROR(INDEX('Agenda 2026'!$B$2:$B$376,MATCH(DATE(2026,9,9)*10+2,'Agenda 2026'!$S$2:$S$376,0)),""),"")&amp;IF(COUNTIFS('Agenda 2026'!$Q$2:$Q$376,DATE(2026,9,9),'Agenda 2026'!$M$2:$M$376,1)&gt;=3,CHAR(10)&amp;IFERROR(INDEX('Agenda 2026'!$B$2:$B$376,MATCH(DATE(2026,9,9)*10+3,'Agenda 2026'!$S$2:$S$376,0)),""),"")&amp;IF(COUNTIFS('Agenda 2026'!$Q$2:$Q$376,DATE(2026,9,9),'Agenda 2026'!$M$2:$M$376,1)&gt;=4,CHAR(10)&amp;IFERROR(INDEX('Agenda 2026'!$B$2:$B$376,MATCH(DATE(2026,9,9)*10+4,'Agenda 2026'!$S$2:$S$376,0)),""),"")&amp;IF(COUNTIFS('Agenda 2026'!$Q$2:$Q$376,DATE(2026,9,9),'Agenda 2026'!$M$2:$M$376,1)&gt;=5,CHAR(10)&amp;IFERROR(INDEX('Agenda 2026'!$B$2:$B$376,MATCH(DATE(2026,9,9)*10+5,'Agenda 2026'!$S$2:$S$376,0)),""),"")&amp;IF(COUNTIFS('Agenda 2026'!$Q$2:$Q$376,DATE(2026,9,9),'Agenda 2026'!$M$2:$M$376,1)&gt;=6,CHAR(10)&amp;IFERROR(INDEX('Agenda 2026'!$B$2:$B$376,MATCH(DATE(2026,9,9)*10+6,'Agenda 2026'!$S$2:$S$376,0)),""),"")&amp;IF(COUNTIFS('Agenda 2026'!$Q$2:$Q$376,DATE(2026,9,9),'Agenda 2026'!$M$2:$M$376,1)&gt;=7,CHAR(10)&amp;IFERROR(INDEX('Agenda 2026'!$B$2:$B$376,MATCH(DATE(2026,9,9)*10+7,'Agenda 2026'!$S$2:$S$376,0)),""),"")&amp;IF(COUNTIFS('Agenda 2026'!$Q$2:$Q$376,DATE(2026,9,9),'Agenda 2026'!$M$2:$M$376,1)&gt;=8,CHAR(10)&amp;IFERROR(INDEX('Agenda 2026'!$B$2:$B$376,MATCH(DATE(2026,9,9)*10+8,'Agenda 2026'!$S$2:$S$376,0)),""),"")&amp;IF(COUNTIFS('Agenda 2026'!$Q$2:$Q$376,DATE(2026,9,9),'Agenda 2026'!$M$2:$M$376,1)&gt;=9,CHAR(10)&amp;IFERROR(INDEX('Agenda 2026'!$B$2:$B$376,MATCH(DATE(2026,9,9)*10+9,'Agenda 2026'!$S$2:$S$376,0)),""),"")&amp;IF(COUNTIFS('Agenda 2026'!$Q$2:$Q$376,DATE(2026,9,9),'Agenda 2026'!$M$2:$M$376,1)&gt;=10,CHAR(10)&amp;IFERROR(INDEX('Agenda 2026'!$B$2:$B$376,MATCH(DATE(2026,9,9)*10+10,'Agenda 2026'!$S$2:$S$376,0)),""),"")&amp;IF(COUNTIFS('Agenda 2026'!$Q$2:$Q$376,DATE(2026,9,9),'Agenda 2026'!$M$2:$M$376,1)&gt;=11,CHAR(10)&amp;IFERROR(INDEX('Agenda 2026'!$B$2:$B$376,MATCH(DATE(2026,9,9)*10+11,'Agenda 2026'!$S$2:$S$376,0)),""),"")&amp;IF(COUNTIFS('Agenda 2026'!$Q$2:$Q$376,DATE(2026,9,9),'Agenda 2026'!$M$2:$M$376,1)&gt;=12,CHAR(10)&amp;IFERROR(INDEX('Agenda 2026'!$B$2:$B$376,MATCH(DATE(2026,9,9)*10+12,'Agenda 2026'!$S$2:$S$376,0)),""),"")</f>
        <v>9</v>
      </c>
      <c r="E83" s="58" t="str">
        <f t="array" ref="E83">10&amp;IF(COUNTIFS('Agenda 2026'!$Q$2:$Q$376,DATE(2026,9,10),'Agenda 2026'!$M$2:$M$376,1)&gt;=1,CHAR(10)&amp;IFERROR(INDEX('Agenda 2026'!$B$2:$B$376,MATCH(DATE(2026,9,10)*10+1,'Agenda 2026'!$S$2:$S$376,0)),""),"")&amp;IF(COUNTIFS('Agenda 2026'!$Q$2:$Q$376,DATE(2026,9,10),'Agenda 2026'!$M$2:$M$376,1)&gt;=2,CHAR(10)&amp;IFERROR(INDEX('Agenda 2026'!$B$2:$B$376,MATCH(DATE(2026,9,10)*10+2,'Agenda 2026'!$S$2:$S$376,0)),""),"")&amp;IF(COUNTIFS('Agenda 2026'!$Q$2:$Q$376,DATE(2026,9,10),'Agenda 2026'!$M$2:$M$376,1)&gt;=3,CHAR(10)&amp;IFERROR(INDEX('Agenda 2026'!$B$2:$B$376,MATCH(DATE(2026,9,10)*10+3,'Agenda 2026'!$S$2:$S$376,0)),""),"")&amp;IF(COUNTIFS('Agenda 2026'!$Q$2:$Q$376,DATE(2026,9,10),'Agenda 2026'!$M$2:$M$376,1)&gt;=4,CHAR(10)&amp;IFERROR(INDEX('Agenda 2026'!$B$2:$B$376,MATCH(DATE(2026,9,10)*10+4,'Agenda 2026'!$S$2:$S$376,0)),""),"")&amp;IF(COUNTIFS('Agenda 2026'!$Q$2:$Q$376,DATE(2026,9,10),'Agenda 2026'!$M$2:$M$376,1)&gt;=5,CHAR(10)&amp;IFERROR(INDEX('Agenda 2026'!$B$2:$B$376,MATCH(DATE(2026,9,10)*10+5,'Agenda 2026'!$S$2:$S$376,0)),""),"")&amp;IF(COUNTIFS('Agenda 2026'!$Q$2:$Q$376,DATE(2026,9,10),'Agenda 2026'!$M$2:$M$376,1)&gt;=6,CHAR(10)&amp;IFERROR(INDEX('Agenda 2026'!$B$2:$B$376,MATCH(DATE(2026,9,10)*10+6,'Agenda 2026'!$S$2:$S$376,0)),""),"")&amp;IF(COUNTIFS('Agenda 2026'!$Q$2:$Q$376,DATE(2026,9,10),'Agenda 2026'!$M$2:$M$376,1)&gt;=7,CHAR(10)&amp;IFERROR(INDEX('Agenda 2026'!$B$2:$B$376,MATCH(DATE(2026,9,10)*10+7,'Agenda 2026'!$S$2:$S$376,0)),""),"")&amp;IF(COUNTIFS('Agenda 2026'!$Q$2:$Q$376,DATE(2026,9,10),'Agenda 2026'!$M$2:$M$376,1)&gt;=8,CHAR(10)&amp;IFERROR(INDEX('Agenda 2026'!$B$2:$B$376,MATCH(DATE(2026,9,10)*10+8,'Agenda 2026'!$S$2:$S$376,0)),""),"")&amp;IF(COUNTIFS('Agenda 2026'!$Q$2:$Q$376,DATE(2026,9,10),'Agenda 2026'!$M$2:$M$376,1)&gt;=9,CHAR(10)&amp;IFERROR(INDEX('Agenda 2026'!$B$2:$B$376,MATCH(DATE(2026,9,10)*10+9,'Agenda 2026'!$S$2:$S$376,0)),""),"")&amp;IF(COUNTIFS('Agenda 2026'!$Q$2:$Q$376,DATE(2026,9,10),'Agenda 2026'!$M$2:$M$376,1)&gt;=10,CHAR(10)&amp;IFERROR(INDEX('Agenda 2026'!$B$2:$B$376,MATCH(DATE(2026,9,10)*10+10,'Agenda 2026'!$S$2:$S$376,0)),""),"")&amp;IF(COUNTIFS('Agenda 2026'!$Q$2:$Q$376,DATE(2026,9,10),'Agenda 2026'!$M$2:$M$376,1)&gt;=11,CHAR(10)&amp;IFERROR(INDEX('Agenda 2026'!$B$2:$B$376,MATCH(DATE(2026,9,10)*10+11,'Agenda 2026'!$S$2:$S$376,0)),""),"")&amp;IF(COUNTIFS('Agenda 2026'!$Q$2:$Q$376,DATE(2026,9,10),'Agenda 2026'!$M$2:$M$376,1)&gt;=12,CHAR(10)&amp;IFERROR(INDEX('Agenda 2026'!$B$2:$B$376,MATCH(DATE(2026,9,10)*10+12,'Agenda 2026'!$S$2:$S$376,0)),""),"")</f>
        <v>10</v>
      </c>
      <c r="F83" s="58" t="str">
        <f t="array" ref="F83">11&amp;IF(COUNTIFS('Agenda 2026'!$Q$2:$Q$376,DATE(2026,9,11),'Agenda 2026'!$M$2:$M$376,1)&gt;=1,CHAR(10)&amp;IFERROR(INDEX('Agenda 2026'!$B$2:$B$376,MATCH(DATE(2026,9,11)*10+1,'Agenda 2026'!$S$2:$S$376,0)),""),"")&amp;IF(COUNTIFS('Agenda 2026'!$Q$2:$Q$376,DATE(2026,9,11),'Agenda 2026'!$M$2:$M$376,1)&gt;=2,CHAR(10)&amp;IFERROR(INDEX('Agenda 2026'!$B$2:$B$376,MATCH(DATE(2026,9,11)*10+2,'Agenda 2026'!$S$2:$S$376,0)),""),"")&amp;IF(COUNTIFS('Agenda 2026'!$Q$2:$Q$376,DATE(2026,9,11),'Agenda 2026'!$M$2:$M$376,1)&gt;=3,CHAR(10)&amp;IFERROR(INDEX('Agenda 2026'!$B$2:$B$376,MATCH(DATE(2026,9,11)*10+3,'Agenda 2026'!$S$2:$S$376,0)),""),"")&amp;IF(COUNTIFS('Agenda 2026'!$Q$2:$Q$376,DATE(2026,9,11),'Agenda 2026'!$M$2:$M$376,1)&gt;=4,CHAR(10)&amp;IFERROR(INDEX('Agenda 2026'!$B$2:$B$376,MATCH(DATE(2026,9,11)*10+4,'Agenda 2026'!$S$2:$S$376,0)),""),"")&amp;IF(COUNTIFS('Agenda 2026'!$Q$2:$Q$376,DATE(2026,9,11),'Agenda 2026'!$M$2:$M$376,1)&gt;=5,CHAR(10)&amp;IFERROR(INDEX('Agenda 2026'!$B$2:$B$376,MATCH(DATE(2026,9,11)*10+5,'Agenda 2026'!$S$2:$S$376,0)),""),"")&amp;IF(COUNTIFS('Agenda 2026'!$Q$2:$Q$376,DATE(2026,9,11),'Agenda 2026'!$M$2:$M$376,1)&gt;=6,CHAR(10)&amp;IFERROR(INDEX('Agenda 2026'!$B$2:$B$376,MATCH(DATE(2026,9,11)*10+6,'Agenda 2026'!$S$2:$S$376,0)),""),"")&amp;IF(COUNTIFS('Agenda 2026'!$Q$2:$Q$376,DATE(2026,9,11),'Agenda 2026'!$M$2:$M$376,1)&gt;=7,CHAR(10)&amp;IFERROR(INDEX('Agenda 2026'!$B$2:$B$376,MATCH(DATE(2026,9,11)*10+7,'Agenda 2026'!$S$2:$S$376,0)),""),"")&amp;IF(COUNTIFS('Agenda 2026'!$Q$2:$Q$376,DATE(2026,9,11),'Agenda 2026'!$M$2:$M$376,1)&gt;=8,CHAR(10)&amp;IFERROR(INDEX('Agenda 2026'!$B$2:$B$376,MATCH(DATE(2026,9,11)*10+8,'Agenda 2026'!$S$2:$S$376,0)),""),"")&amp;IF(COUNTIFS('Agenda 2026'!$Q$2:$Q$376,DATE(2026,9,11),'Agenda 2026'!$M$2:$M$376,1)&gt;=9,CHAR(10)&amp;IFERROR(INDEX('Agenda 2026'!$B$2:$B$376,MATCH(DATE(2026,9,11)*10+9,'Agenda 2026'!$S$2:$S$376,0)),""),"")&amp;IF(COUNTIFS('Agenda 2026'!$Q$2:$Q$376,DATE(2026,9,11),'Agenda 2026'!$M$2:$M$376,1)&gt;=10,CHAR(10)&amp;IFERROR(INDEX('Agenda 2026'!$B$2:$B$376,MATCH(DATE(2026,9,11)*10+10,'Agenda 2026'!$S$2:$S$376,0)),""),"")&amp;IF(COUNTIFS('Agenda 2026'!$Q$2:$Q$376,DATE(2026,9,11),'Agenda 2026'!$M$2:$M$376,1)&gt;=11,CHAR(10)&amp;IFERROR(INDEX('Agenda 2026'!$B$2:$B$376,MATCH(DATE(2026,9,11)*10+11,'Agenda 2026'!$S$2:$S$376,0)),""),"")&amp;IF(COUNTIFS('Agenda 2026'!$Q$2:$Q$376,DATE(2026,9,11),'Agenda 2026'!$M$2:$M$376,1)&gt;=12,CHAR(10)&amp;IFERROR(INDEX('Agenda 2026'!$B$2:$B$376,MATCH(DATE(2026,9,11)*10+12,'Agenda 2026'!$S$2:$S$376,0)),""),"")</f>
        <v>11</v>
      </c>
      <c r="G83" s="58" t="str">
        <f t="array" ref="G83">12&amp;IF(COUNTIFS('Agenda 2026'!$Q$2:$Q$376,DATE(2026,9,12),'Agenda 2026'!$M$2:$M$376,1)&gt;=1,CHAR(10)&amp;IFERROR(INDEX('Agenda 2026'!$B$2:$B$376,MATCH(DATE(2026,9,12)*10+1,'Agenda 2026'!$S$2:$S$376,0)),""),"")&amp;IF(COUNTIFS('Agenda 2026'!$Q$2:$Q$376,DATE(2026,9,12),'Agenda 2026'!$M$2:$M$376,1)&gt;=2,CHAR(10)&amp;IFERROR(INDEX('Agenda 2026'!$B$2:$B$376,MATCH(DATE(2026,9,12)*10+2,'Agenda 2026'!$S$2:$S$376,0)),""),"")&amp;IF(COUNTIFS('Agenda 2026'!$Q$2:$Q$376,DATE(2026,9,12),'Agenda 2026'!$M$2:$M$376,1)&gt;=3,CHAR(10)&amp;IFERROR(INDEX('Agenda 2026'!$B$2:$B$376,MATCH(DATE(2026,9,12)*10+3,'Agenda 2026'!$S$2:$S$376,0)),""),"")&amp;IF(COUNTIFS('Agenda 2026'!$Q$2:$Q$376,DATE(2026,9,12),'Agenda 2026'!$M$2:$M$376,1)&gt;=4,CHAR(10)&amp;IFERROR(INDEX('Agenda 2026'!$B$2:$B$376,MATCH(DATE(2026,9,12)*10+4,'Agenda 2026'!$S$2:$S$376,0)),""),"")&amp;IF(COUNTIFS('Agenda 2026'!$Q$2:$Q$376,DATE(2026,9,12),'Agenda 2026'!$M$2:$M$376,1)&gt;=5,CHAR(10)&amp;IFERROR(INDEX('Agenda 2026'!$B$2:$B$376,MATCH(DATE(2026,9,12)*10+5,'Agenda 2026'!$S$2:$S$376,0)),""),"")&amp;IF(COUNTIFS('Agenda 2026'!$Q$2:$Q$376,DATE(2026,9,12),'Agenda 2026'!$M$2:$M$376,1)&gt;=6,CHAR(10)&amp;IFERROR(INDEX('Agenda 2026'!$B$2:$B$376,MATCH(DATE(2026,9,12)*10+6,'Agenda 2026'!$S$2:$S$376,0)),""),"")&amp;IF(COUNTIFS('Agenda 2026'!$Q$2:$Q$376,DATE(2026,9,12),'Agenda 2026'!$M$2:$M$376,1)&gt;=7,CHAR(10)&amp;IFERROR(INDEX('Agenda 2026'!$B$2:$B$376,MATCH(DATE(2026,9,12)*10+7,'Agenda 2026'!$S$2:$S$376,0)),""),"")&amp;IF(COUNTIFS('Agenda 2026'!$Q$2:$Q$376,DATE(2026,9,12),'Agenda 2026'!$M$2:$M$376,1)&gt;=8,CHAR(10)&amp;IFERROR(INDEX('Agenda 2026'!$B$2:$B$376,MATCH(DATE(2026,9,12)*10+8,'Agenda 2026'!$S$2:$S$376,0)),""),"")&amp;IF(COUNTIFS('Agenda 2026'!$Q$2:$Q$376,DATE(2026,9,12),'Agenda 2026'!$M$2:$M$376,1)&gt;=9,CHAR(10)&amp;IFERROR(INDEX('Agenda 2026'!$B$2:$B$376,MATCH(DATE(2026,9,12)*10+9,'Agenda 2026'!$S$2:$S$376,0)),""),"")&amp;IF(COUNTIFS('Agenda 2026'!$Q$2:$Q$376,DATE(2026,9,12),'Agenda 2026'!$M$2:$M$376,1)&gt;=10,CHAR(10)&amp;IFERROR(INDEX('Agenda 2026'!$B$2:$B$376,MATCH(DATE(2026,9,12)*10+10,'Agenda 2026'!$S$2:$S$376,0)),""),"")&amp;IF(COUNTIFS('Agenda 2026'!$Q$2:$Q$376,DATE(2026,9,12),'Agenda 2026'!$M$2:$M$376,1)&gt;=11,CHAR(10)&amp;IFERROR(INDEX('Agenda 2026'!$B$2:$B$376,MATCH(DATE(2026,9,12)*10+11,'Agenda 2026'!$S$2:$S$376,0)),""),"")&amp;IF(COUNTIFS('Agenda 2026'!$Q$2:$Q$376,DATE(2026,9,12),'Agenda 2026'!$M$2:$M$376,1)&gt;=12,CHAR(10)&amp;IFERROR(INDEX('Agenda 2026'!$B$2:$B$376,MATCH(DATE(2026,9,12)*10+12,'Agenda 2026'!$S$2:$S$376,0)),""),"")</f>
        <v>12</v>
      </c>
      <c r="H83" s="58" t="str">
        <f t="array" ref="H83">13&amp;IF(COUNTIFS('Agenda 2026'!$Q$2:$Q$376,DATE(2026,9,13),'Agenda 2026'!$M$2:$M$376,1)&gt;=1,CHAR(10)&amp;IFERROR(INDEX('Agenda 2026'!$B$2:$B$376,MATCH(DATE(2026,9,13)*10+1,'Agenda 2026'!$S$2:$S$376,0)),""),"")&amp;IF(COUNTIFS('Agenda 2026'!$Q$2:$Q$376,DATE(2026,9,13),'Agenda 2026'!$M$2:$M$376,1)&gt;=2,CHAR(10)&amp;IFERROR(INDEX('Agenda 2026'!$B$2:$B$376,MATCH(DATE(2026,9,13)*10+2,'Agenda 2026'!$S$2:$S$376,0)),""),"")&amp;IF(COUNTIFS('Agenda 2026'!$Q$2:$Q$376,DATE(2026,9,13),'Agenda 2026'!$M$2:$M$376,1)&gt;=3,CHAR(10)&amp;IFERROR(INDEX('Agenda 2026'!$B$2:$B$376,MATCH(DATE(2026,9,13)*10+3,'Agenda 2026'!$S$2:$S$376,0)),""),"")&amp;IF(COUNTIFS('Agenda 2026'!$Q$2:$Q$376,DATE(2026,9,13),'Agenda 2026'!$M$2:$M$376,1)&gt;=4,CHAR(10)&amp;IFERROR(INDEX('Agenda 2026'!$B$2:$B$376,MATCH(DATE(2026,9,13)*10+4,'Agenda 2026'!$S$2:$S$376,0)),""),"")&amp;IF(COUNTIFS('Agenda 2026'!$Q$2:$Q$376,DATE(2026,9,13),'Agenda 2026'!$M$2:$M$376,1)&gt;=5,CHAR(10)&amp;IFERROR(INDEX('Agenda 2026'!$B$2:$B$376,MATCH(DATE(2026,9,13)*10+5,'Agenda 2026'!$S$2:$S$376,0)),""),"")&amp;IF(COUNTIFS('Agenda 2026'!$Q$2:$Q$376,DATE(2026,9,13),'Agenda 2026'!$M$2:$M$376,1)&gt;=6,CHAR(10)&amp;IFERROR(INDEX('Agenda 2026'!$B$2:$B$376,MATCH(DATE(2026,9,13)*10+6,'Agenda 2026'!$S$2:$S$376,0)),""),"")&amp;IF(COUNTIFS('Agenda 2026'!$Q$2:$Q$376,DATE(2026,9,13),'Agenda 2026'!$M$2:$M$376,1)&gt;=7,CHAR(10)&amp;IFERROR(INDEX('Agenda 2026'!$B$2:$B$376,MATCH(DATE(2026,9,13)*10+7,'Agenda 2026'!$S$2:$S$376,0)),""),"")&amp;IF(COUNTIFS('Agenda 2026'!$Q$2:$Q$376,DATE(2026,9,13),'Agenda 2026'!$M$2:$M$376,1)&gt;=8,CHAR(10)&amp;IFERROR(INDEX('Agenda 2026'!$B$2:$B$376,MATCH(DATE(2026,9,13)*10+8,'Agenda 2026'!$S$2:$S$376,0)),""),"")&amp;IF(COUNTIFS('Agenda 2026'!$Q$2:$Q$376,DATE(2026,9,13),'Agenda 2026'!$M$2:$M$376,1)&gt;=9,CHAR(10)&amp;IFERROR(INDEX('Agenda 2026'!$B$2:$B$376,MATCH(DATE(2026,9,13)*10+9,'Agenda 2026'!$S$2:$S$376,0)),""),"")&amp;IF(COUNTIFS('Agenda 2026'!$Q$2:$Q$376,DATE(2026,9,13),'Agenda 2026'!$M$2:$M$376,1)&gt;=10,CHAR(10)&amp;IFERROR(INDEX('Agenda 2026'!$B$2:$B$376,MATCH(DATE(2026,9,13)*10+10,'Agenda 2026'!$S$2:$S$376,0)),""),"")&amp;IF(COUNTIFS('Agenda 2026'!$Q$2:$Q$376,DATE(2026,9,13),'Agenda 2026'!$M$2:$M$376,1)&gt;=11,CHAR(10)&amp;IFERROR(INDEX('Agenda 2026'!$B$2:$B$376,MATCH(DATE(2026,9,13)*10+11,'Agenda 2026'!$S$2:$S$376,0)),""),"")&amp;IF(COUNTIFS('Agenda 2026'!$Q$2:$Q$376,DATE(2026,9,13),'Agenda 2026'!$M$2:$M$376,1)&gt;=12,CHAR(10)&amp;IFERROR(INDEX('Agenda 2026'!$B$2:$B$376,MATCH(DATE(2026,9,13)*10+12,'Agenda 2026'!$S$2:$S$376,0)),""),"")</f>
        <v>13</v>
      </c>
    </row>
    <row r="84" spans="1:8" ht="57.75" customHeight="1" x14ac:dyDescent="0.35">
      <c r="A84" s="17"/>
      <c r="B84" s="58" t="str">
        <f t="array" ref="B84">14&amp;IF(COUNTIFS('Agenda 2026'!$Q$2:$Q$376,DATE(2026,9,14),'Agenda 2026'!$M$2:$M$376,1)&gt;=1,CHAR(10)&amp;IFERROR(INDEX('Agenda 2026'!$B$2:$B$376,MATCH(DATE(2026,9,14)*10+1,'Agenda 2026'!$S$2:$S$376,0)),""),"")&amp;IF(COUNTIFS('Agenda 2026'!$Q$2:$Q$376,DATE(2026,9,14),'Agenda 2026'!$M$2:$M$376,1)&gt;=2,CHAR(10)&amp;IFERROR(INDEX('Agenda 2026'!$B$2:$B$376,MATCH(DATE(2026,9,14)*10+2,'Agenda 2026'!$S$2:$S$376,0)),""),"")&amp;IF(COUNTIFS('Agenda 2026'!$Q$2:$Q$376,DATE(2026,9,14),'Agenda 2026'!$M$2:$M$376,1)&gt;=3,CHAR(10)&amp;IFERROR(INDEX('Agenda 2026'!$B$2:$B$376,MATCH(DATE(2026,9,14)*10+3,'Agenda 2026'!$S$2:$S$376,0)),""),"")&amp;IF(COUNTIFS('Agenda 2026'!$Q$2:$Q$376,DATE(2026,9,14),'Agenda 2026'!$M$2:$M$376,1)&gt;=4,CHAR(10)&amp;IFERROR(INDEX('Agenda 2026'!$B$2:$B$376,MATCH(DATE(2026,9,14)*10+4,'Agenda 2026'!$S$2:$S$376,0)),""),"")&amp;IF(COUNTIFS('Agenda 2026'!$Q$2:$Q$376,DATE(2026,9,14),'Agenda 2026'!$M$2:$M$376,1)&gt;=5,CHAR(10)&amp;IFERROR(INDEX('Agenda 2026'!$B$2:$B$376,MATCH(DATE(2026,9,14)*10+5,'Agenda 2026'!$S$2:$S$376,0)),""),"")&amp;IF(COUNTIFS('Agenda 2026'!$Q$2:$Q$376,DATE(2026,9,14),'Agenda 2026'!$M$2:$M$376,1)&gt;=6,CHAR(10)&amp;IFERROR(INDEX('Agenda 2026'!$B$2:$B$376,MATCH(DATE(2026,9,14)*10+6,'Agenda 2026'!$S$2:$S$376,0)),""),"")&amp;IF(COUNTIFS('Agenda 2026'!$Q$2:$Q$376,DATE(2026,9,14),'Agenda 2026'!$M$2:$M$376,1)&gt;=7,CHAR(10)&amp;IFERROR(INDEX('Agenda 2026'!$B$2:$B$376,MATCH(DATE(2026,9,14)*10+7,'Agenda 2026'!$S$2:$S$376,0)),""),"")&amp;IF(COUNTIFS('Agenda 2026'!$Q$2:$Q$376,DATE(2026,9,14),'Agenda 2026'!$M$2:$M$376,1)&gt;=8,CHAR(10)&amp;IFERROR(INDEX('Agenda 2026'!$B$2:$B$376,MATCH(DATE(2026,9,14)*10+8,'Agenda 2026'!$S$2:$S$376,0)),""),"")&amp;IF(COUNTIFS('Agenda 2026'!$Q$2:$Q$376,DATE(2026,9,14),'Agenda 2026'!$M$2:$M$376,1)&gt;=9,CHAR(10)&amp;IFERROR(INDEX('Agenda 2026'!$B$2:$B$376,MATCH(DATE(2026,9,14)*10+9,'Agenda 2026'!$S$2:$S$376,0)),""),"")&amp;IF(COUNTIFS('Agenda 2026'!$Q$2:$Q$376,DATE(2026,9,14),'Agenda 2026'!$M$2:$M$376,1)&gt;=10,CHAR(10)&amp;IFERROR(INDEX('Agenda 2026'!$B$2:$B$376,MATCH(DATE(2026,9,14)*10+10,'Agenda 2026'!$S$2:$S$376,0)),""),"")&amp;IF(COUNTIFS('Agenda 2026'!$Q$2:$Q$376,DATE(2026,9,14),'Agenda 2026'!$M$2:$M$376,1)&gt;=11,CHAR(10)&amp;IFERROR(INDEX('Agenda 2026'!$B$2:$B$376,MATCH(DATE(2026,9,14)*10+11,'Agenda 2026'!$S$2:$S$376,0)),""),"")&amp;IF(COUNTIFS('Agenda 2026'!$Q$2:$Q$376,DATE(2026,9,14),'Agenda 2026'!$M$2:$M$376,1)&gt;=12,CHAR(10)&amp;IFERROR(INDEX('Agenda 2026'!$B$2:$B$376,MATCH(DATE(2026,9,14)*10+12,'Agenda 2026'!$S$2:$S$376,0)),""),"")</f>
        <v>14</v>
      </c>
      <c r="C84" s="58" t="str">
        <f t="array" ref="C84">15&amp;IF(COUNTIFS('Agenda 2026'!$Q$2:$Q$376,DATE(2026,9,15),'Agenda 2026'!$M$2:$M$376,1)&gt;=1,CHAR(10)&amp;IFERROR(INDEX('Agenda 2026'!$B$2:$B$376,MATCH(DATE(2026,9,15)*10+1,'Agenda 2026'!$S$2:$S$376,0)),""),"")&amp;IF(COUNTIFS('Agenda 2026'!$Q$2:$Q$376,DATE(2026,9,15),'Agenda 2026'!$M$2:$M$376,1)&gt;=2,CHAR(10)&amp;IFERROR(INDEX('Agenda 2026'!$B$2:$B$376,MATCH(DATE(2026,9,15)*10+2,'Agenda 2026'!$S$2:$S$376,0)),""),"")&amp;IF(COUNTIFS('Agenda 2026'!$Q$2:$Q$376,DATE(2026,9,15),'Agenda 2026'!$M$2:$M$376,1)&gt;=3,CHAR(10)&amp;IFERROR(INDEX('Agenda 2026'!$B$2:$B$376,MATCH(DATE(2026,9,15)*10+3,'Agenda 2026'!$S$2:$S$376,0)),""),"")&amp;IF(COUNTIFS('Agenda 2026'!$Q$2:$Q$376,DATE(2026,9,15),'Agenda 2026'!$M$2:$M$376,1)&gt;=4,CHAR(10)&amp;IFERROR(INDEX('Agenda 2026'!$B$2:$B$376,MATCH(DATE(2026,9,15)*10+4,'Agenda 2026'!$S$2:$S$376,0)),""),"")&amp;IF(COUNTIFS('Agenda 2026'!$Q$2:$Q$376,DATE(2026,9,15),'Agenda 2026'!$M$2:$M$376,1)&gt;=5,CHAR(10)&amp;IFERROR(INDEX('Agenda 2026'!$B$2:$B$376,MATCH(DATE(2026,9,15)*10+5,'Agenda 2026'!$S$2:$S$376,0)),""),"")&amp;IF(COUNTIFS('Agenda 2026'!$Q$2:$Q$376,DATE(2026,9,15),'Agenda 2026'!$M$2:$M$376,1)&gt;=6,CHAR(10)&amp;IFERROR(INDEX('Agenda 2026'!$B$2:$B$376,MATCH(DATE(2026,9,15)*10+6,'Agenda 2026'!$S$2:$S$376,0)),""),"")&amp;IF(COUNTIFS('Agenda 2026'!$Q$2:$Q$376,DATE(2026,9,15),'Agenda 2026'!$M$2:$M$376,1)&gt;=7,CHAR(10)&amp;IFERROR(INDEX('Agenda 2026'!$B$2:$B$376,MATCH(DATE(2026,9,15)*10+7,'Agenda 2026'!$S$2:$S$376,0)),""),"")&amp;IF(COUNTIFS('Agenda 2026'!$Q$2:$Q$376,DATE(2026,9,15),'Agenda 2026'!$M$2:$M$376,1)&gt;=8,CHAR(10)&amp;IFERROR(INDEX('Agenda 2026'!$B$2:$B$376,MATCH(DATE(2026,9,15)*10+8,'Agenda 2026'!$S$2:$S$376,0)),""),"")&amp;IF(COUNTIFS('Agenda 2026'!$Q$2:$Q$376,DATE(2026,9,15),'Agenda 2026'!$M$2:$M$376,1)&gt;=9,CHAR(10)&amp;IFERROR(INDEX('Agenda 2026'!$B$2:$B$376,MATCH(DATE(2026,9,15)*10+9,'Agenda 2026'!$S$2:$S$376,0)),""),"")&amp;IF(COUNTIFS('Agenda 2026'!$Q$2:$Q$376,DATE(2026,9,15),'Agenda 2026'!$M$2:$M$376,1)&gt;=10,CHAR(10)&amp;IFERROR(INDEX('Agenda 2026'!$B$2:$B$376,MATCH(DATE(2026,9,15)*10+10,'Agenda 2026'!$S$2:$S$376,0)),""),"")&amp;IF(COUNTIFS('Agenda 2026'!$Q$2:$Q$376,DATE(2026,9,15),'Agenda 2026'!$M$2:$M$376,1)&gt;=11,CHAR(10)&amp;IFERROR(INDEX('Agenda 2026'!$B$2:$B$376,MATCH(DATE(2026,9,15)*10+11,'Agenda 2026'!$S$2:$S$376,0)),""),"")&amp;IF(COUNTIFS('Agenda 2026'!$Q$2:$Q$376,DATE(2026,9,15),'Agenda 2026'!$M$2:$M$376,1)&gt;=12,CHAR(10)&amp;IFERROR(INDEX('Agenda 2026'!$B$2:$B$376,MATCH(DATE(2026,9,15)*10+12,'Agenda 2026'!$S$2:$S$376,0)),""),"")</f>
        <v>15</v>
      </c>
      <c r="D84" s="58" t="str">
        <f t="array" ref="D84">16&amp;IF(COUNTIFS('Agenda 2026'!$Q$2:$Q$376,DATE(2026,9,16),'Agenda 2026'!$M$2:$M$376,1)&gt;=1,CHAR(10)&amp;IFERROR(INDEX('Agenda 2026'!$B$2:$B$376,MATCH(DATE(2026,9,16)*10+1,'Agenda 2026'!$S$2:$S$376,0)),""),"")&amp;IF(COUNTIFS('Agenda 2026'!$Q$2:$Q$376,DATE(2026,9,16),'Agenda 2026'!$M$2:$M$376,1)&gt;=2,CHAR(10)&amp;IFERROR(INDEX('Agenda 2026'!$B$2:$B$376,MATCH(DATE(2026,9,16)*10+2,'Agenda 2026'!$S$2:$S$376,0)),""),"")&amp;IF(COUNTIFS('Agenda 2026'!$Q$2:$Q$376,DATE(2026,9,16),'Agenda 2026'!$M$2:$M$376,1)&gt;=3,CHAR(10)&amp;IFERROR(INDEX('Agenda 2026'!$B$2:$B$376,MATCH(DATE(2026,9,16)*10+3,'Agenda 2026'!$S$2:$S$376,0)),""),"")&amp;IF(COUNTIFS('Agenda 2026'!$Q$2:$Q$376,DATE(2026,9,16),'Agenda 2026'!$M$2:$M$376,1)&gt;=4,CHAR(10)&amp;IFERROR(INDEX('Agenda 2026'!$B$2:$B$376,MATCH(DATE(2026,9,16)*10+4,'Agenda 2026'!$S$2:$S$376,0)),""),"")&amp;IF(COUNTIFS('Agenda 2026'!$Q$2:$Q$376,DATE(2026,9,16),'Agenda 2026'!$M$2:$M$376,1)&gt;=5,CHAR(10)&amp;IFERROR(INDEX('Agenda 2026'!$B$2:$B$376,MATCH(DATE(2026,9,16)*10+5,'Agenda 2026'!$S$2:$S$376,0)),""),"")&amp;IF(COUNTIFS('Agenda 2026'!$Q$2:$Q$376,DATE(2026,9,16),'Agenda 2026'!$M$2:$M$376,1)&gt;=6,CHAR(10)&amp;IFERROR(INDEX('Agenda 2026'!$B$2:$B$376,MATCH(DATE(2026,9,16)*10+6,'Agenda 2026'!$S$2:$S$376,0)),""),"")&amp;IF(COUNTIFS('Agenda 2026'!$Q$2:$Q$376,DATE(2026,9,16),'Agenda 2026'!$M$2:$M$376,1)&gt;=7,CHAR(10)&amp;IFERROR(INDEX('Agenda 2026'!$B$2:$B$376,MATCH(DATE(2026,9,16)*10+7,'Agenda 2026'!$S$2:$S$376,0)),""),"")&amp;IF(COUNTIFS('Agenda 2026'!$Q$2:$Q$376,DATE(2026,9,16),'Agenda 2026'!$M$2:$M$376,1)&gt;=8,CHAR(10)&amp;IFERROR(INDEX('Agenda 2026'!$B$2:$B$376,MATCH(DATE(2026,9,16)*10+8,'Agenda 2026'!$S$2:$S$376,0)),""),"")&amp;IF(COUNTIFS('Agenda 2026'!$Q$2:$Q$376,DATE(2026,9,16),'Agenda 2026'!$M$2:$M$376,1)&gt;=9,CHAR(10)&amp;IFERROR(INDEX('Agenda 2026'!$B$2:$B$376,MATCH(DATE(2026,9,16)*10+9,'Agenda 2026'!$S$2:$S$376,0)),""),"")&amp;IF(COUNTIFS('Agenda 2026'!$Q$2:$Q$376,DATE(2026,9,16),'Agenda 2026'!$M$2:$M$376,1)&gt;=10,CHAR(10)&amp;IFERROR(INDEX('Agenda 2026'!$B$2:$B$376,MATCH(DATE(2026,9,16)*10+10,'Agenda 2026'!$S$2:$S$376,0)),""),"")&amp;IF(COUNTIFS('Agenda 2026'!$Q$2:$Q$376,DATE(2026,9,16),'Agenda 2026'!$M$2:$M$376,1)&gt;=11,CHAR(10)&amp;IFERROR(INDEX('Agenda 2026'!$B$2:$B$376,MATCH(DATE(2026,9,16)*10+11,'Agenda 2026'!$S$2:$S$376,0)),""),"")&amp;IF(COUNTIFS('Agenda 2026'!$Q$2:$Q$376,DATE(2026,9,16),'Agenda 2026'!$M$2:$M$376,1)&gt;=12,CHAR(10)&amp;IFERROR(INDEX('Agenda 2026'!$B$2:$B$376,MATCH(DATE(2026,9,16)*10+12,'Agenda 2026'!$S$2:$S$376,0)),""),"")</f>
        <v>16</v>
      </c>
      <c r="E84" s="58" t="str">
        <f t="array" ref="E84">17&amp;IF(COUNTIFS('Agenda 2026'!$Q$2:$Q$376,DATE(2026,9,17),'Agenda 2026'!$M$2:$M$376,1)&gt;=1,CHAR(10)&amp;IFERROR(INDEX('Agenda 2026'!$B$2:$B$376,MATCH(DATE(2026,9,17)*10+1,'Agenda 2026'!$S$2:$S$376,0)),""),"")&amp;IF(COUNTIFS('Agenda 2026'!$Q$2:$Q$376,DATE(2026,9,17),'Agenda 2026'!$M$2:$M$376,1)&gt;=2,CHAR(10)&amp;IFERROR(INDEX('Agenda 2026'!$B$2:$B$376,MATCH(DATE(2026,9,17)*10+2,'Agenda 2026'!$S$2:$S$376,0)),""),"")&amp;IF(COUNTIFS('Agenda 2026'!$Q$2:$Q$376,DATE(2026,9,17),'Agenda 2026'!$M$2:$M$376,1)&gt;=3,CHAR(10)&amp;IFERROR(INDEX('Agenda 2026'!$B$2:$B$376,MATCH(DATE(2026,9,17)*10+3,'Agenda 2026'!$S$2:$S$376,0)),""),"")&amp;IF(COUNTIFS('Agenda 2026'!$Q$2:$Q$376,DATE(2026,9,17),'Agenda 2026'!$M$2:$M$376,1)&gt;=4,CHAR(10)&amp;IFERROR(INDEX('Agenda 2026'!$B$2:$B$376,MATCH(DATE(2026,9,17)*10+4,'Agenda 2026'!$S$2:$S$376,0)),""),"")&amp;IF(COUNTIFS('Agenda 2026'!$Q$2:$Q$376,DATE(2026,9,17),'Agenda 2026'!$M$2:$M$376,1)&gt;=5,CHAR(10)&amp;IFERROR(INDEX('Agenda 2026'!$B$2:$B$376,MATCH(DATE(2026,9,17)*10+5,'Agenda 2026'!$S$2:$S$376,0)),""),"")&amp;IF(COUNTIFS('Agenda 2026'!$Q$2:$Q$376,DATE(2026,9,17),'Agenda 2026'!$M$2:$M$376,1)&gt;=6,CHAR(10)&amp;IFERROR(INDEX('Agenda 2026'!$B$2:$B$376,MATCH(DATE(2026,9,17)*10+6,'Agenda 2026'!$S$2:$S$376,0)),""),"")&amp;IF(COUNTIFS('Agenda 2026'!$Q$2:$Q$376,DATE(2026,9,17),'Agenda 2026'!$M$2:$M$376,1)&gt;=7,CHAR(10)&amp;IFERROR(INDEX('Agenda 2026'!$B$2:$B$376,MATCH(DATE(2026,9,17)*10+7,'Agenda 2026'!$S$2:$S$376,0)),""),"")&amp;IF(COUNTIFS('Agenda 2026'!$Q$2:$Q$376,DATE(2026,9,17),'Agenda 2026'!$M$2:$M$376,1)&gt;=8,CHAR(10)&amp;IFERROR(INDEX('Agenda 2026'!$B$2:$B$376,MATCH(DATE(2026,9,17)*10+8,'Agenda 2026'!$S$2:$S$376,0)),""),"")&amp;IF(COUNTIFS('Agenda 2026'!$Q$2:$Q$376,DATE(2026,9,17),'Agenda 2026'!$M$2:$M$376,1)&gt;=9,CHAR(10)&amp;IFERROR(INDEX('Agenda 2026'!$B$2:$B$376,MATCH(DATE(2026,9,17)*10+9,'Agenda 2026'!$S$2:$S$376,0)),""),"")&amp;IF(COUNTIFS('Agenda 2026'!$Q$2:$Q$376,DATE(2026,9,17),'Agenda 2026'!$M$2:$M$376,1)&gt;=10,CHAR(10)&amp;IFERROR(INDEX('Agenda 2026'!$B$2:$B$376,MATCH(DATE(2026,9,17)*10+10,'Agenda 2026'!$S$2:$S$376,0)),""),"")&amp;IF(COUNTIFS('Agenda 2026'!$Q$2:$Q$376,DATE(2026,9,17),'Agenda 2026'!$M$2:$M$376,1)&gt;=11,CHAR(10)&amp;IFERROR(INDEX('Agenda 2026'!$B$2:$B$376,MATCH(DATE(2026,9,17)*10+11,'Agenda 2026'!$S$2:$S$376,0)),""),"")&amp;IF(COUNTIFS('Agenda 2026'!$Q$2:$Q$376,DATE(2026,9,17),'Agenda 2026'!$M$2:$M$376,1)&gt;=12,CHAR(10)&amp;IFERROR(INDEX('Agenda 2026'!$B$2:$B$376,MATCH(DATE(2026,9,17)*10+12,'Agenda 2026'!$S$2:$S$376,0)),""),"")</f>
        <v>17</v>
      </c>
      <c r="F84" s="58" t="str">
        <f t="array" ref="F84">18&amp;IF(COUNTIFS('Agenda 2026'!$Q$2:$Q$376,DATE(2026,9,18),'Agenda 2026'!$M$2:$M$376,1)&gt;=1,CHAR(10)&amp;IFERROR(INDEX('Agenda 2026'!$B$2:$B$376,MATCH(DATE(2026,9,18)*10+1,'Agenda 2026'!$S$2:$S$376,0)),""),"")&amp;IF(COUNTIFS('Agenda 2026'!$Q$2:$Q$376,DATE(2026,9,18),'Agenda 2026'!$M$2:$M$376,1)&gt;=2,CHAR(10)&amp;IFERROR(INDEX('Agenda 2026'!$B$2:$B$376,MATCH(DATE(2026,9,18)*10+2,'Agenda 2026'!$S$2:$S$376,0)),""),"")&amp;IF(COUNTIFS('Agenda 2026'!$Q$2:$Q$376,DATE(2026,9,18),'Agenda 2026'!$M$2:$M$376,1)&gt;=3,CHAR(10)&amp;IFERROR(INDEX('Agenda 2026'!$B$2:$B$376,MATCH(DATE(2026,9,18)*10+3,'Agenda 2026'!$S$2:$S$376,0)),""),"")&amp;IF(COUNTIFS('Agenda 2026'!$Q$2:$Q$376,DATE(2026,9,18),'Agenda 2026'!$M$2:$M$376,1)&gt;=4,CHAR(10)&amp;IFERROR(INDEX('Agenda 2026'!$B$2:$B$376,MATCH(DATE(2026,9,18)*10+4,'Agenda 2026'!$S$2:$S$376,0)),""),"")&amp;IF(COUNTIFS('Agenda 2026'!$Q$2:$Q$376,DATE(2026,9,18),'Agenda 2026'!$M$2:$M$376,1)&gt;=5,CHAR(10)&amp;IFERROR(INDEX('Agenda 2026'!$B$2:$B$376,MATCH(DATE(2026,9,18)*10+5,'Agenda 2026'!$S$2:$S$376,0)),""),"")&amp;IF(COUNTIFS('Agenda 2026'!$Q$2:$Q$376,DATE(2026,9,18),'Agenda 2026'!$M$2:$M$376,1)&gt;=6,CHAR(10)&amp;IFERROR(INDEX('Agenda 2026'!$B$2:$B$376,MATCH(DATE(2026,9,18)*10+6,'Agenda 2026'!$S$2:$S$376,0)),""),"")&amp;IF(COUNTIFS('Agenda 2026'!$Q$2:$Q$376,DATE(2026,9,18),'Agenda 2026'!$M$2:$M$376,1)&gt;=7,CHAR(10)&amp;IFERROR(INDEX('Agenda 2026'!$B$2:$B$376,MATCH(DATE(2026,9,18)*10+7,'Agenda 2026'!$S$2:$S$376,0)),""),"")&amp;IF(COUNTIFS('Agenda 2026'!$Q$2:$Q$376,DATE(2026,9,18),'Agenda 2026'!$M$2:$M$376,1)&gt;=8,CHAR(10)&amp;IFERROR(INDEX('Agenda 2026'!$B$2:$B$376,MATCH(DATE(2026,9,18)*10+8,'Agenda 2026'!$S$2:$S$376,0)),""),"")&amp;IF(COUNTIFS('Agenda 2026'!$Q$2:$Q$376,DATE(2026,9,18),'Agenda 2026'!$M$2:$M$376,1)&gt;=9,CHAR(10)&amp;IFERROR(INDEX('Agenda 2026'!$B$2:$B$376,MATCH(DATE(2026,9,18)*10+9,'Agenda 2026'!$S$2:$S$376,0)),""),"")&amp;IF(COUNTIFS('Agenda 2026'!$Q$2:$Q$376,DATE(2026,9,18),'Agenda 2026'!$M$2:$M$376,1)&gt;=10,CHAR(10)&amp;IFERROR(INDEX('Agenda 2026'!$B$2:$B$376,MATCH(DATE(2026,9,18)*10+10,'Agenda 2026'!$S$2:$S$376,0)),""),"")&amp;IF(COUNTIFS('Agenda 2026'!$Q$2:$Q$376,DATE(2026,9,18),'Agenda 2026'!$M$2:$M$376,1)&gt;=11,CHAR(10)&amp;IFERROR(INDEX('Agenda 2026'!$B$2:$B$376,MATCH(DATE(2026,9,18)*10+11,'Agenda 2026'!$S$2:$S$376,0)),""),"")&amp;IF(COUNTIFS('Agenda 2026'!$Q$2:$Q$376,DATE(2026,9,18),'Agenda 2026'!$M$2:$M$376,1)&gt;=12,CHAR(10)&amp;IFERROR(INDEX('Agenda 2026'!$B$2:$B$376,MATCH(DATE(2026,9,18)*10+12,'Agenda 2026'!$S$2:$S$376,0)),""),"")</f>
        <v>18</v>
      </c>
      <c r="G84" s="58" t="str">
        <f t="array" ref="G84">19&amp;IF(COUNTIFS('Agenda 2026'!$Q$2:$Q$376,DATE(2026,9,19),'Agenda 2026'!$M$2:$M$376,1)&gt;=1,CHAR(10)&amp;IFERROR(INDEX('Agenda 2026'!$B$2:$B$376,MATCH(DATE(2026,9,19)*10+1,'Agenda 2026'!$S$2:$S$376,0)),""),"")&amp;IF(COUNTIFS('Agenda 2026'!$Q$2:$Q$376,DATE(2026,9,19),'Agenda 2026'!$M$2:$M$376,1)&gt;=2,CHAR(10)&amp;IFERROR(INDEX('Agenda 2026'!$B$2:$B$376,MATCH(DATE(2026,9,19)*10+2,'Agenda 2026'!$S$2:$S$376,0)),""),"")&amp;IF(COUNTIFS('Agenda 2026'!$Q$2:$Q$376,DATE(2026,9,19),'Agenda 2026'!$M$2:$M$376,1)&gt;=3,CHAR(10)&amp;IFERROR(INDEX('Agenda 2026'!$B$2:$B$376,MATCH(DATE(2026,9,19)*10+3,'Agenda 2026'!$S$2:$S$376,0)),""),"")&amp;IF(COUNTIFS('Agenda 2026'!$Q$2:$Q$376,DATE(2026,9,19),'Agenda 2026'!$M$2:$M$376,1)&gt;=4,CHAR(10)&amp;IFERROR(INDEX('Agenda 2026'!$B$2:$B$376,MATCH(DATE(2026,9,19)*10+4,'Agenda 2026'!$S$2:$S$376,0)),""),"")&amp;IF(COUNTIFS('Agenda 2026'!$Q$2:$Q$376,DATE(2026,9,19),'Agenda 2026'!$M$2:$M$376,1)&gt;=5,CHAR(10)&amp;IFERROR(INDEX('Agenda 2026'!$B$2:$B$376,MATCH(DATE(2026,9,19)*10+5,'Agenda 2026'!$S$2:$S$376,0)),""),"")&amp;IF(COUNTIFS('Agenda 2026'!$Q$2:$Q$376,DATE(2026,9,19),'Agenda 2026'!$M$2:$M$376,1)&gt;=6,CHAR(10)&amp;IFERROR(INDEX('Agenda 2026'!$B$2:$B$376,MATCH(DATE(2026,9,19)*10+6,'Agenda 2026'!$S$2:$S$376,0)),""),"")&amp;IF(COUNTIFS('Agenda 2026'!$Q$2:$Q$376,DATE(2026,9,19),'Agenda 2026'!$M$2:$M$376,1)&gt;=7,CHAR(10)&amp;IFERROR(INDEX('Agenda 2026'!$B$2:$B$376,MATCH(DATE(2026,9,19)*10+7,'Agenda 2026'!$S$2:$S$376,0)),""),"")&amp;IF(COUNTIFS('Agenda 2026'!$Q$2:$Q$376,DATE(2026,9,19),'Agenda 2026'!$M$2:$M$376,1)&gt;=8,CHAR(10)&amp;IFERROR(INDEX('Agenda 2026'!$B$2:$B$376,MATCH(DATE(2026,9,19)*10+8,'Agenda 2026'!$S$2:$S$376,0)),""),"")&amp;IF(COUNTIFS('Agenda 2026'!$Q$2:$Q$376,DATE(2026,9,19),'Agenda 2026'!$M$2:$M$376,1)&gt;=9,CHAR(10)&amp;IFERROR(INDEX('Agenda 2026'!$B$2:$B$376,MATCH(DATE(2026,9,19)*10+9,'Agenda 2026'!$S$2:$S$376,0)),""),"")&amp;IF(COUNTIFS('Agenda 2026'!$Q$2:$Q$376,DATE(2026,9,19),'Agenda 2026'!$M$2:$M$376,1)&gt;=10,CHAR(10)&amp;IFERROR(INDEX('Agenda 2026'!$B$2:$B$376,MATCH(DATE(2026,9,19)*10+10,'Agenda 2026'!$S$2:$S$376,0)),""),"")&amp;IF(COUNTIFS('Agenda 2026'!$Q$2:$Q$376,DATE(2026,9,19),'Agenda 2026'!$M$2:$M$376,1)&gt;=11,CHAR(10)&amp;IFERROR(INDEX('Agenda 2026'!$B$2:$B$376,MATCH(DATE(2026,9,19)*10+11,'Agenda 2026'!$S$2:$S$376,0)),""),"")&amp;IF(COUNTIFS('Agenda 2026'!$Q$2:$Q$376,DATE(2026,9,19),'Agenda 2026'!$M$2:$M$376,1)&gt;=12,CHAR(10)&amp;IFERROR(INDEX('Agenda 2026'!$B$2:$B$376,MATCH(DATE(2026,9,19)*10+12,'Agenda 2026'!$S$2:$S$376,0)),""),"")</f>
        <v>19</v>
      </c>
      <c r="H84" s="58" t="str">
        <f t="array" ref="H84">20&amp;IF(COUNTIFS('Agenda 2026'!$Q$2:$Q$376,DATE(2026,9,20),'Agenda 2026'!$M$2:$M$376,1)&gt;=1,CHAR(10)&amp;IFERROR(INDEX('Agenda 2026'!$B$2:$B$376,MATCH(DATE(2026,9,20)*10+1,'Agenda 2026'!$S$2:$S$376,0)),""),"")&amp;IF(COUNTIFS('Agenda 2026'!$Q$2:$Q$376,DATE(2026,9,20),'Agenda 2026'!$M$2:$M$376,1)&gt;=2,CHAR(10)&amp;IFERROR(INDEX('Agenda 2026'!$B$2:$B$376,MATCH(DATE(2026,9,20)*10+2,'Agenda 2026'!$S$2:$S$376,0)),""),"")&amp;IF(COUNTIFS('Agenda 2026'!$Q$2:$Q$376,DATE(2026,9,20),'Agenda 2026'!$M$2:$M$376,1)&gt;=3,CHAR(10)&amp;IFERROR(INDEX('Agenda 2026'!$B$2:$B$376,MATCH(DATE(2026,9,20)*10+3,'Agenda 2026'!$S$2:$S$376,0)),""),"")&amp;IF(COUNTIFS('Agenda 2026'!$Q$2:$Q$376,DATE(2026,9,20),'Agenda 2026'!$M$2:$M$376,1)&gt;=4,CHAR(10)&amp;IFERROR(INDEX('Agenda 2026'!$B$2:$B$376,MATCH(DATE(2026,9,20)*10+4,'Agenda 2026'!$S$2:$S$376,0)),""),"")&amp;IF(COUNTIFS('Agenda 2026'!$Q$2:$Q$376,DATE(2026,9,20),'Agenda 2026'!$M$2:$M$376,1)&gt;=5,CHAR(10)&amp;IFERROR(INDEX('Agenda 2026'!$B$2:$B$376,MATCH(DATE(2026,9,20)*10+5,'Agenda 2026'!$S$2:$S$376,0)),""),"")&amp;IF(COUNTIFS('Agenda 2026'!$Q$2:$Q$376,DATE(2026,9,20),'Agenda 2026'!$M$2:$M$376,1)&gt;=6,CHAR(10)&amp;IFERROR(INDEX('Agenda 2026'!$B$2:$B$376,MATCH(DATE(2026,9,20)*10+6,'Agenda 2026'!$S$2:$S$376,0)),""),"")&amp;IF(COUNTIFS('Agenda 2026'!$Q$2:$Q$376,DATE(2026,9,20),'Agenda 2026'!$M$2:$M$376,1)&gt;=7,CHAR(10)&amp;IFERROR(INDEX('Agenda 2026'!$B$2:$B$376,MATCH(DATE(2026,9,20)*10+7,'Agenda 2026'!$S$2:$S$376,0)),""),"")&amp;IF(COUNTIFS('Agenda 2026'!$Q$2:$Q$376,DATE(2026,9,20),'Agenda 2026'!$M$2:$M$376,1)&gt;=8,CHAR(10)&amp;IFERROR(INDEX('Agenda 2026'!$B$2:$B$376,MATCH(DATE(2026,9,20)*10+8,'Agenda 2026'!$S$2:$S$376,0)),""),"")&amp;IF(COUNTIFS('Agenda 2026'!$Q$2:$Q$376,DATE(2026,9,20),'Agenda 2026'!$M$2:$M$376,1)&gt;=9,CHAR(10)&amp;IFERROR(INDEX('Agenda 2026'!$B$2:$B$376,MATCH(DATE(2026,9,20)*10+9,'Agenda 2026'!$S$2:$S$376,0)),""),"")&amp;IF(COUNTIFS('Agenda 2026'!$Q$2:$Q$376,DATE(2026,9,20),'Agenda 2026'!$M$2:$M$376,1)&gt;=10,CHAR(10)&amp;IFERROR(INDEX('Agenda 2026'!$B$2:$B$376,MATCH(DATE(2026,9,20)*10+10,'Agenda 2026'!$S$2:$S$376,0)),""),"")&amp;IF(COUNTIFS('Agenda 2026'!$Q$2:$Q$376,DATE(2026,9,20),'Agenda 2026'!$M$2:$M$376,1)&gt;=11,CHAR(10)&amp;IFERROR(INDEX('Agenda 2026'!$B$2:$B$376,MATCH(DATE(2026,9,20)*10+11,'Agenda 2026'!$S$2:$S$376,0)),""),"")&amp;IF(COUNTIFS('Agenda 2026'!$Q$2:$Q$376,DATE(2026,9,20),'Agenda 2026'!$M$2:$M$376,1)&gt;=12,CHAR(10)&amp;IFERROR(INDEX('Agenda 2026'!$B$2:$B$376,MATCH(DATE(2026,9,20)*10+12,'Agenda 2026'!$S$2:$S$376,0)),""),"")</f>
        <v>20</v>
      </c>
    </row>
    <row r="85" spans="1:8" ht="69.75" customHeight="1" x14ac:dyDescent="0.35">
      <c r="A85" s="17"/>
      <c r="B85" s="58" t="str">
        <f t="array" ref="B85">21&amp;IF(COUNTIFS('Agenda 2026'!$Q$2:$Q$376,DATE(2026,9,21),'Agenda 2026'!$M$2:$M$376,1)&gt;=1,CHAR(10)&amp;IFERROR(INDEX('Agenda 2026'!$B$2:$B$376,MATCH(DATE(2026,9,21)*10+1,'Agenda 2026'!$S$2:$S$376,0)),""),"")&amp;IF(COUNTIFS('Agenda 2026'!$Q$2:$Q$376,DATE(2026,9,21),'Agenda 2026'!$M$2:$M$376,1)&gt;=2,CHAR(10)&amp;IFERROR(INDEX('Agenda 2026'!$B$2:$B$376,MATCH(DATE(2026,9,21)*10+2,'Agenda 2026'!$S$2:$S$376,0)),""),"")&amp;IF(COUNTIFS('Agenda 2026'!$Q$2:$Q$376,DATE(2026,9,21),'Agenda 2026'!$M$2:$M$376,1)&gt;=3,CHAR(10)&amp;IFERROR(INDEX('Agenda 2026'!$B$2:$B$376,MATCH(DATE(2026,9,21)*10+3,'Agenda 2026'!$S$2:$S$376,0)),""),"")&amp;IF(COUNTIFS('Agenda 2026'!$Q$2:$Q$376,DATE(2026,9,21),'Agenda 2026'!$M$2:$M$376,1)&gt;=4,CHAR(10)&amp;IFERROR(INDEX('Agenda 2026'!$B$2:$B$376,MATCH(DATE(2026,9,21)*10+4,'Agenda 2026'!$S$2:$S$376,0)),""),"")&amp;IF(COUNTIFS('Agenda 2026'!$Q$2:$Q$376,DATE(2026,9,21),'Agenda 2026'!$M$2:$M$376,1)&gt;=5,CHAR(10)&amp;IFERROR(INDEX('Agenda 2026'!$B$2:$B$376,MATCH(DATE(2026,9,21)*10+5,'Agenda 2026'!$S$2:$S$376,0)),""),"")&amp;IF(COUNTIFS('Agenda 2026'!$Q$2:$Q$376,DATE(2026,9,21),'Agenda 2026'!$M$2:$M$376,1)&gt;=6,CHAR(10)&amp;IFERROR(INDEX('Agenda 2026'!$B$2:$B$376,MATCH(DATE(2026,9,21)*10+6,'Agenda 2026'!$S$2:$S$376,0)),""),"")&amp;IF(COUNTIFS('Agenda 2026'!$Q$2:$Q$376,DATE(2026,9,21),'Agenda 2026'!$M$2:$M$376,1)&gt;=7,CHAR(10)&amp;IFERROR(INDEX('Agenda 2026'!$B$2:$B$376,MATCH(DATE(2026,9,21)*10+7,'Agenda 2026'!$S$2:$S$376,0)),""),"")&amp;IF(COUNTIFS('Agenda 2026'!$Q$2:$Q$376,DATE(2026,9,21),'Agenda 2026'!$M$2:$M$376,1)&gt;=8,CHAR(10)&amp;IFERROR(INDEX('Agenda 2026'!$B$2:$B$376,MATCH(DATE(2026,9,21)*10+8,'Agenda 2026'!$S$2:$S$376,0)),""),"")&amp;IF(COUNTIFS('Agenda 2026'!$Q$2:$Q$376,DATE(2026,9,21),'Agenda 2026'!$M$2:$M$376,1)&gt;=9,CHAR(10)&amp;IFERROR(INDEX('Agenda 2026'!$B$2:$B$376,MATCH(DATE(2026,9,21)*10+9,'Agenda 2026'!$S$2:$S$376,0)),""),"")&amp;IF(COUNTIFS('Agenda 2026'!$Q$2:$Q$376,DATE(2026,9,21),'Agenda 2026'!$M$2:$M$376,1)&gt;=10,CHAR(10)&amp;IFERROR(INDEX('Agenda 2026'!$B$2:$B$376,MATCH(DATE(2026,9,21)*10+10,'Agenda 2026'!$S$2:$S$376,0)),""),"")&amp;IF(COUNTIFS('Agenda 2026'!$Q$2:$Q$376,DATE(2026,9,21),'Agenda 2026'!$M$2:$M$376,1)&gt;=11,CHAR(10)&amp;IFERROR(INDEX('Agenda 2026'!$B$2:$B$376,MATCH(DATE(2026,9,21)*10+11,'Agenda 2026'!$S$2:$S$376,0)),""),"")&amp;IF(COUNTIFS('Agenda 2026'!$Q$2:$Q$376,DATE(2026,9,21),'Agenda 2026'!$M$2:$M$376,1)&gt;=12,CHAR(10)&amp;IFERROR(INDEX('Agenda 2026'!$B$2:$B$376,MATCH(DATE(2026,9,21)*10+12,'Agenda 2026'!$S$2:$S$376,0)),""),"")</f>
        <v>21</v>
      </c>
      <c r="C85" s="58" t="str">
        <f t="array" ref="C85">22&amp;IF(COUNTIFS('Agenda 2026'!$Q$2:$Q$376,DATE(2026,9,22),'Agenda 2026'!$M$2:$M$376,1)&gt;=1,CHAR(10)&amp;IFERROR(INDEX('Agenda 2026'!$B$2:$B$376,MATCH(DATE(2026,9,22)*10+1,'Agenda 2026'!$S$2:$S$376,0)),""),"")&amp;IF(COUNTIFS('Agenda 2026'!$Q$2:$Q$376,DATE(2026,9,22),'Agenda 2026'!$M$2:$M$376,1)&gt;=2,CHAR(10)&amp;IFERROR(INDEX('Agenda 2026'!$B$2:$B$376,MATCH(DATE(2026,9,22)*10+2,'Agenda 2026'!$S$2:$S$376,0)),""),"")&amp;IF(COUNTIFS('Agenda 2026'!$Q$2:$Q$376,DATE(2026,9,22),'Agenda 2026'!$M$2:$M$376,1)&gt;=3,CHAR(10)&amp;IFERROR(INDEX('Agenda 2026'!$B$2:$B$376,MATCH(DATE(2026,9,22)*10+3,'Agenda 2026'!$S$2:$S$376,0)),""),"")&amp;IF(COUNTIFS('Agenda 2026'!$Q$2:$Q$376,DATE(2026,9,22),'Agenda 2026'!$M$2:$M$376,1)&gt;=4,CHAR(10)&amp;IFERROR(INDEX('Agenda 2026'!$B$2:$B$376,MATCH(DATE(2026,9,22)*10+4,'Agenda 2026'!$S$2:$S$376,0)),""),"")&amp;IF(COUNTIFS('Agenda 2026'!$Q$2:$Q$376,DATE(2026,9,22),'Agenda 2026'!$M$2:$M$376,1)&gt;=5,CHAR(10)&amp;IFERROR(INDEX('Agenda 2026'!$B$2:$B$376,MATCH(DATE(2026,9,22)*10+5,'Agenda 2026'!$S$2:$S$376,0)),""),"")&amp;IF(COUNTIFS('Agenda 2026'!$Q$2:$Q$376,DATE(2026,9,22),'Agenda 2026'!$M$2:$M$376,1)&gt;=6,CHAR(10)&amp;IFERROR(INDEX('Agenda 2026'!$B$2:$B$376,MATCH(DATE(2026,9,22)*10+6,'Agenda 2026'!$S$2:$S$376,0)),""),"")&amp;IF(COUNTIFS('Agenda 2026'!$Q$2:$Q$376,DATE(2026,9,22),'Agenda 2026'!$M$2:$M$376,1)&gt;=7,CHAR(10)&amp;IFERROR(INDEX('Agenda 2026'!$B$2:$B$376,MATCH(DATE(2026,9,22)*10+7,'Agenda 2026'!$S$2:$S$376,0)),""),"")&amp;IF(COUNTIFS('Agenda 2026'!$Q$2:$Q$376,DATE(2026,9,22),'Agenda 2026'!$M$2:$M$376,1)&gt;=8,CHAR(10)&amp;IFERROR(INDEX('Agenda 2026'!$B$2:$B$376,MATCH(DATE(2026,9,22)*10+8,'Agenda 2026'!$S$2:$S$376,0)),""),"")&amp;IF(COUNTIFS('Agenda 2026'!$Q$2:$Q$376,DATE(2026,9,22),'Agenda 2026'!$M$2:$M$376,1)&gt;=9,CHAR(10)&amp;IFERROR(INDEX('Agenda 2026'!$B$2:$B$376,MATCH(DATE(2026,9,22)*10+9,'Agenda 2026'!$S$2:$S$376,0)),""),"")&amp;IF(COUNTIFS('Agenda 2026'!$Q$2:$Q$376,DATE(2026,9,22),'Agenda 2026'!$M$2:$M$376,1)&gt;=10,CHAR(10)&amp;IFERROR(INDEX('Agenda 2026'!$B$2:$B$376,MATCH(DATE(2026,9,22)*10+10,'Agenda 2026'!$S$2:$S$376,0)),""),"")&amp;IF(COUNTIFS('Agenda 2026'!$Q$2:$Q$376,DATE(2026,9,22),'Agenda 2026'!$M$2:$M$376,1)&gt;=11,CHAR(10)&amp;IFERROR(INDEX('Agenda 2026'!$B$2:$B$376,MATCH(DATE(2026,9,22)*10+11,'Agenda 2026'!$S$2:$S$376,0)),""),"")&amp;IF(COUNTIFS('Agenda 2026'!$Q$2:$Q$376,DATE(2026,9,22),'Agenda 2026'!$M$2:$M$376,1)&gt;=12,CHAR(10)&amp;IFERROR(INDEX('Agenda 2026'!$B$2:$B$376,MATCH(DATE(2026,9,22)*10+12,'Agenda 2026'!$S$2:$S$376,0)),""),"")</f>
        <v>22</v>
      </c>
      <c r="D85" s="58" t="str">
        <f t="array" ref="D85">23&amp;IF(COUNTIFS('Agenda 2026'!$Q$2:$Q$376,DATE(2026,9,23),'Agenda 2026'!$M$2:$M$376,1)&gt;=1,CHAR(10)&amp;IFERROR(INDEX('Agenda 2026'!$B$2:$B$376,MATCH(DATE(2026,9,23)*10+1,'Agenda 2026'!$S$2:$S$376,0)),""),"")&amp;IF(COUNTIFS('Agenda 2026'!$Q$2:$Q$376,DATE(2026,9,23),'Agenda 2026'!$M$2:$M$376,1)&gt;=2,CHAR(10)&amp;IFERROR(INDEX('Agenda 2026'!$B$2:$B$376,MATCH(DATE(2026,9,23)*10+2,'Agenda 2026'!$S$2:$S$376,0)),""),"")&amp;IF(COUNTIFS('Agenda 2026'!$Q$2:$Q$376,DATE(2026,9,23),'Agenda 2026'!$M$2:$M$376,1)&gt;=3,CHAR(10)&amp;IFERROR(INDEX('Agenda 2026'!$B$2:$B$376,MATCH(DATE(2026,9,23)*10+3,'Agenda 2026'!$S$2:$S$376,0)),""),"")&amp;IF(COUNTIFS('Agenda 2026'!$Q$2:$Q$376,DATE(2026,9,23),'Agenda 2026'!$M$2:$M$376,1)&gt;=4,CHAR(10)&amp;IFERROR(INDEX('Agenda 2026'!$B$2:$B$376,MATCH(DATE(2026,9,23)*10+4,'Agenda 2026'!$S$2:$S$376,0)),""),"")&amp;IF(COUNTIFS('Agenda 2026'!$Q$2:$Q$376,DATE(2026,9,23),'Agenda 2026'!$M$2:$M$376,1)&gt;=5,CHAR(10)&amp;IFERROR(INDEX('Agenda 2026'!$B$2:$B$376,MATCH(DATE(2026,9,23)*10+5,'Agenda 2026'!$S$2:$S$376,0)),""),"")&amp;IF(COUNTIFS('Agenda 2026'!$Q$2:$Q$376,DATE(2026,9,23),'Agenda 2026'!$M$2:$M$376,1)&gt;=6,CHAR(10)&amp;IFERROR(INDEX('Agenda 2026'!$B$2:$B$376,MATCH(DATE(2026,9,23)*10+6,'Agenda 2026'!$S$2:$S$376,0)),""),"")&amp;IF(COUNTIFS('Agenda 2026'!$Q$2:$Q$376,DATE(2026,9,23),'Agenda 2026'!$M$2:$M$376,1)&gt;=7,CHAR(10)&amp;IFERROR(INDEX('Agenda 2026'!$B$2:$B$376,MATCH(DATE(2026,9,23)*10+7,'Agenda 2026'!$S$2:$S$376,0)),""),"")&amp;IF(COUNTIFS('Agenda 2026'!$Q$2:$Q$376,DATE(2026,9,23),'Agenda 2026'!$M$2:$M$376,1)&gt;=8,CHAR(10)&amp;IFERROR(INDEX('Agenda 2026'!$B$2:$B$376,MATCH(DATE(2026,9,23)*10+8,'Agenda 2026'!$S$2:$S$376,0)),""),"")&amp;IF(COUNTIFS('Agenda 2026'!$Q$2:$Q$376,DATE(2026,9,23),'Agenda 2026'!$M$2:$M$376,1)&gt;=9,CHAR(10)&amp;IFERROR(INDEX('Agenda 2026'!$B$2:$B$376,MATCH(DATE(2026,9,23)*10+9,'Agenda 2026'!$S$2:$S$376,0)),""),"")&amp;IF(COUNTIFS('Agenda 2026'!$Q$2:$Q$376,DATE(2026,9,23),'Agenda 2026'!$M$2:$M$376,1)&gt;=10,CHAR(10)&amp;IFERROR(INDEX('Agenda 2026'!$B$2:$B$376,MATCH(DATE(2026,9,23)*10+10,'Agenda 2026'!$S$2:$S$376,0)),""),"")&amp;IF(COUNTIFS('Agenda 2026'!$Q$2:$Q$376,DATE(2026,9,23),'Agenda 2026'!$M$2:$M$376,1)&gt;=11,CHAR(10)&amp;IFERROR(INDEX('Agenda 2026'!$B$2:$B$376,MATCH(DATE(2026,9,23)*10+11,'Agenda 2026'!$S$2:$S$376,0)),""),"")&amp;IF(COUNTIFS('Agenda 2026'!$Q$2:$Q$376,DATE(2026,9,23),'Agenda 2026'!$M$2:$M$376,1)&gt;=12,CHAR(10)&amp;IFERROR(INDEX('Agenda 2026'!$B$2:$B$376,MATCH(DATE(2026,9,23)*10+12,'Agenda 2026'!$S$2:$S$376,0)),""),"")</f>
        <v>23</v>
      </c>
      <c r="E85" s="58" t="str">
        <f t="array" ref="E85">24&amp;IF(COUNTIFS('Agenda 2026'!$Q$2:$Q$376,DATE(2026,9,24),'Agenda 2026'!$M$2:$M$376,1)&gt;=1,CHAR(10)&amp;IFERROR(INDEX('Agenda 2026'!$B$2:$B$376,MATCH(DATE(2026,9,24)*10+1,'Agenda 2026'!$S$2:$S$376,0)),""),"")&amp;IF(COUNTIFS('Agenda 2026'!$Q$2:$Q$376,DATE(2026,9,24),'Agenda 2026'!$M$2:$M$376,1)&gt;=2,CHAR(10)&amp;IFERROR(INDEX('Agenda 2026'!$B$2:$B$376,MATCH(DATE(2026,9,24)*10+2,'Agenda 2026'!$S$2:$S$376,0)),""),"")&amp;IF(COUNTIFS('Agenda 2026'!$Q$2:$Q$376,DATE(2026,9,24),'Agenda 2026'!$M$2:$M$376,1)&gt;=3,CHAR(10)&amp;IFERROR(INDEX('Agenda 2026'!$B$2:$B$376,MATCH(DATE(2026,9,24)*10+3,'Agenda 2026'!$S$2:$S$376,0)),""),"")&amp;IF(COUNTIFS('Agenda 2026'!$Q$2:$Q$376,DATE(2026,9,24),'Agenda 2026'!$M$2:$M$376,1)&gt;=4,CHAR(10)&amp;IFERROR(INDEX('Agenda 2026'!$B$2:$B$376,MATCH(DATE(2026,9,24)*10+4,'Agenda 2026'!$S$2:$S$376,0)),""),"")&amp;IF(COUNTIFS('Agenda 2026'!$Q$2:$Q$376,DATE(2026,9,24),'Agenda 2026'!$M$2:$M$376,1)&gt;=5,CHAR(10)&amp;IFERROR(INDEX('Agenda 2026'!$B$2:$B$376,MATCH(DATE(2026,9,24)*10+5,'Agenda 2026'!$S$2:$S$376,0)),""),"")&amp;IF(COUNTIFS('Agenda 2026'!$Q$2:$Q$376,DATE(2026,9,24),'Agenda 2026'!$M$2:$M$376,1)&gt;=6,CHAR(10)&amp;IFERROR(INDEX('Agenda 2026'!$B$2:$B$376,MATCH(DATE(2026,9,24)*10+6,'Agenda 2026'!$S$2:$S$376,0)),""),"")&amp;IF(COUNTIFS('Agenda 2026'!$Q$2:$Q$376,DATE(2026,9,24),'Agenda 2026'!$M$2:$M$376,1)&gt;=7,CHAR(10)&amp;IFERROR(INDEX('Agenda 2026'!$B$2:$B$376,MATCH(DATE(2026,9,24)*10+7,'Agenda 2026'!$S$2:$S$376,0)),""),"")&amp;IF(COUNTIFS('Agenda 2026'!$Q$2:$Q$376,DATE(2026,9,24),'Agenda 2026'!$M$2:$M$376,1)&gt;=8,CHAR(10)&amp;IFERROR(INDEX('Agenda 2026'!$B$2:$B$376,MATCH(DATE(2026,9,24)*10+8,'Agenda 2026'!$S$2:$S$376,0)),""),"")&amp;IF(COUNTIFS('Agenda 2026'!$Q$2:$Q$376,DATE(2026,9,24),'Agenda 2026'!$M$2:$M$376,1)&gt;=9,CHAR(10)&amp;IFERROR(INDEX('Agenda 2026'!$B$2:$B$376,MATCH(DATE(2026,9,24)*10+9,'Agenda 2026'!$S$2:$S$376,0)),""),"")&amp;IF(COUNTIFS('Agenda 2026'!$Q$2:$Q$376,DATE(2026,9,24),'Agenda 2026'!$M$2:$M$376,1)&gt;=10,CHAR(10)&amp;IFERROR(INDEX('Agenda 2026'!$B$2:$B$376,MATCH(DATE(2026,9,24)*10+10,'Agenda 2026'!$S$2:$S$376,0)),""),"")&amp;IF(COUNTIFS('Agenda 2026'!$Q$2:$Q$376,DATE(2026,9,24),'Agenda 2026'!$M$2:$M$376,1)&gt;=11,CHAR(10)&amp;IFERROR(INDEX('Agenda 2026'!$B$2:$B$376,MATCH(DATE(2026,9,24)*10+11,'Agenda 2026'!$S$2:$S$376,0)),""),"")&amp;IF(COUNTIFS('Agenda 2026'!$Q$2:$Q$376,DATE(2026,9,24),'Agenda 2026'!$M$2:$M$376,1)&gt;=12,CHAR(10)&amp;IFERROR(INDEX('Agenda 2026'!$B$2:$B$376,MATCH(DATE(2026,9,24)*10+12,'Agenda 2026'!$S$2:$S$376,0)),""),"")</f>
        <v>24</v>
      </c>
      <c r="F85" s="58" t="str">
        <f t="array" ref="F85">25&amp;IF(COUNTIFS('Agenda 2026'!$Q$2:$Q$376,DATE(2026,9,25),'Agenda 2026'!$M$2:$M$376,1)&gt;=1,CHAR(10)&amp;IFERROR(INDEX('Agenda 2026'!$B$2:$B$376,MATCH(DATE(2026,9,25)*10+1,'Agenda 2026'!$S$2:$S$376,0)),""),"")&amp;IF(COUNTIFS('Agenda 2026'!$Q$2:$Q$376,DATE(2026,9,25),'Agenda 2026'!$M$2:$M$376,1)&gt;=2,CHAR(10)&amp;IFERROR(INDEX('Agenda 2026'!$B$2:$B$376,MATCH(DATE(2026,9,25)*10+2,'Agenda 2026'!$S$2:$S$376,0)),""),"")&amp;IF(COUNTIFS('Agenda 2026'!$Q$2:$Q$376,DATE(2026,9,25),'Agenda 2026'!$M$2:$M$376,1)&gt;=3,CHAR(10)&amp;IFERROR(INDEX('Agenda 2026'!$B$2:$B$376,MATCH(DATE(2026,9,25)*10+3,'Agenda 2026'!$S$2:$S$376,0)),""),"")&amp;IF(COUNTIFS('Agenda 2026'!$Q$2:$Q$376,DATE(2026,9,25),'Agenda 2026'!$M$2:$M$376,1)&gt;=4,CHAR(10)&amp;IFERROR(INDEX('Agenda 2026'!$B$2:$B$376,MATCH(DATE(2026,9,25)*10+4,'Agenda 2026'!$S$2:$S$376,0)),""),"")&amp;IF(COUNTIFS('Agenda 2026'!$Q$2:$Q$376,DATE(2026,9,25),'Agenda 2026'!$M$2:$M$376,1)&gt;=5,CHAR(10)&amp;IFERROR(INDEX('Agenda 2026'!$B$2:$B$376,MATCH(DATE(2026,9,25)*10+5,'Agenda 2026'!$S$2:$S$376,0)),""),"")&amp;IF(COUNTIFS('Agenda 2026'!$Q$2:$Q$376,DATE(2026,9,25),'Agenda 2026'!$M$2:$M$376,1)&gt;=6,CHAR(10)&amp;IFERROR(INDEX('Agenda 2026'!$B$2:$B$376,MATCH(DATE(2026,9,25)*10+6,'Agenda 2026'!$S$2:$S$376,0)),""),"")&amp;IF(COUNTIFS('Agenda 2026'!$Q$2:$Q$376,DATE(2026,9,25),'Agenda 2026'!$M$2:$M$376,1)&gt;=7,CHAR(10)&amp;IFERROR(INDEX('Agenda 2026'!$B$2:$B$376,MATCH(DATE(2026,9,25)*10+7,'Agenda 2026'!$S$2:$S$376,0)),""),"")&amp;IF(COUNTIFS('Agenda 2026'!$Q$2:$Q$376,DATE(2026,9,25),'Agenda 2026'!$M$2:$M$376,1)&gt;=8,CHAR(10)&amp;IFERROR(INDEX('Agenda 2026'!$B$2:$B$376,MATCH(DATE(2026,9,25)*10+8,'Agenda 2026'!$S$2:$S$376,0)),""),"")&amp;IF(COUNTIFS('Agenda 2026'!$Q$2:$Q$376,DATE(2026,9,25),'Agenda 2026'!$M$2:$M$376,1)&gt;=9,CHAR(10)&amp;IFERROR(INDEX('Agenda 2026'!$B$2:$B$376,MATCH(DATE(2026,9,25)*10+9,'Agenda 2026'!$S$2:$S$376,0)),""),"")&amp;IF(COUNTIFS('Agenda 2026'!$Q$2:$Q$376,DATE(2026,9,25),'Agenda 2026'!$M$2:$M$376,1)&gt;=10,CHAR(10)&amp;IFERROR(INDEX('Agenda 2026'!$B$2:$B$376,MATCH(DATE(2026,9,25)*10+10,'Agenda 2026'!$S$2:$S$376,0)),""),"")&amp;IF(COUNTIFS('Agenda 2026'!$Q$2:$Q$376,DATE(2026,9,25),'Agenda 2026'!$M$2:$M$376,1)&gt;=11,CHAR(10)&amp;IFERROR(INDEX('Agenda 2026'!$B$2:$B$376,MATCH(DATE(2026,9,25)*10+11,'Agenda 2026'!$S$2:$S$376,0)),""),"")&amp;IF(COUNTIFS('Agenda 2026'!$Q$2:$Q$376,DATE(2026,9,25),'Agenda 2026'!$M$2:$M$376,1)&gt;=12,CHAR(10)&amp;IFERROR(INDEX('Agenda 2026'!$B$2:$B$376,MATCH(DATE(2026,9,25)*10+12,'Agenda 2026'!$S$2:$S$376,0)),""),"")</f>
        <v>25</v>
      </c>
      <c r="G85" s="58" t="str">
        <f t="array" ref="G85">26&amp;IF(COUNTIFS('Agenda 2026'!$Q$2:$Q$376,DATE(2026,9,26),'Agenda 2026'!$M$2:$M$376,1)&gt;=1,CHAR(10)&amp;IFERROR(INDEX('Agenda 2026'!$B$2:$B$376,MATCH(DATE(2026,9,26)*10+1,'Agenda 2026'!$S$2:$S$376,0)),""),"")&amp;IF(COUNTIFS('Agenda 2026'!$Q$2:$Q$376,DATE(2026,9,26),'Agenda 2026'!$M$2:$M$376,1)&gt;=2,CHAR(10)&amp;IFERROR(INDEX('Agenda 2026'!$B$2:$B$376,MATCH(DATE(2026,9,26)*10+2,'Agenda 2026'!$S$2:$S$376,0)),""),"")&amp;IF(COUNTIFS('Agenda 2026'!$Q$2:$Q$376,DATE(2026,9,26),'Agenda 2026'!$M$2:$M$376,1)&gt;=3,CHAR(10)&amp;IFERROR(INDEX('Agenda 2026'!$B$2:$B$376,MATCH(DATE(2026,9,26)*10+3,'Agenda 2026'!$S$2:$S$376,0)),""),"")&amp;IF(COUNTIFS('Agenda 2026'!$Q$2:$Q$376,DATE(2026,9,26),'Agenda 2026'!$M$2:$M$376,1)&gt;=4,CHAR(10)&amp;IFERROR(INDEX('Agenda 2026'!$B$2:$B$376,MATCH(DATE(2026,9,26)*10+4,'Agenda 2026'!$S$2:$S$376,0)),""),"")&amp;IF(COUNTIFS('Agenda 2026'!$Q$2:$Q$376,DATE(2026,9,26),'Agenda 2026'!$M$2:$M$376,1)&gt;=5,CHAR(10)&amp;IFERROR(INDEX('Agenda 2026'!$B$2:$B$376,MATCH(DATE(2026,9,26)*10+5,'Agenda 2026'!$S$2:$S$376,0)),""),"")&amp;IF(COUNTIFS('Agenda 2026'!$Q$2:$Q$376,DATE(2026,9,26),'Agenda 2026'!$M$2:$M$376,1)&gt;=6,CHAR(10)&amp;IFERROR(INDEX('Agenda 2026'!$B$2:$B$376,MATCH(DATE(2026,9,26)*10+6,'Agenda 2026'!$S$2:$S$376,0)),""),"")&amp;IF(COUNTIFS('Agenda 2026'!$Q$2:$Q$376,DATE(2026,9,26),'Agenda 2026'!$M$2:$M$376,1)&gt;=7,CHAR(10)&amp;IFERROR(INDEX('Agenda 2026'!$B$2:$B$376,MATCH(DATE(2026,9,26)*10+7,'Agenda 2026'!$S$2:$S$376,0)),""),"")&amp;IF(COUNTIFS('Agenda 2026'!$Q$2:$Q$376,DATE(2026,9,26),'Agenda 2026'!$M$2:$M$376,1)&gt;=8,CHAR(10)&amp;IFERROR(INDEX('Agenda 2026'!$B$2:$B$376,MATCH(DATE(2026,9,26)*10+8,'Agenda 2026'!$S$2:$S$376,0)),""),"")&amp;IF(COUNTIFS('Agenda 2026'!$Q$2:$Q$376,DATE(2026,9,26),'Agenda 2026'!$M$2:$M$376,1)&gt;=9,CHAR(10)&amp;IFERROR(INDEX('Agenda 2026'!$B$2:$B$376,MATCH(DATE(2026,9,26)*10+9,'Agenda 2026'!$S$2:$S$376,0)),""),"")&amp;IF(COUNTIFS('Agenda 2026'!$Q$2:$Q$376,DATE(2026,9,26),'Agenda 2026'!$M$2:$M$376,1)&gt;=10,CHAR(10)&amp;IFERROR(INDEX('Agenda 2026'!$B$2:$B$376,MATCH(DATE(2026,9,26)*10+10,'Agenda 2026'!$S$2:$S$376,0)),""),"")&amp;IF(COUNTIFS('Agenda 2026'!$Q$2:$Q$376,DATE(2026,9,26),'Agenda 2026'!$M$2:$M$376,1)&gt;=11,CHAR(10)&amp;IFERROR(INDEX('Agenda 2026'!$B$2:$B$376,MATCH(DATE(2026,9,26)*10+11,'Agenda 2026'!$S$2:$S$376,0)),""),"")&amp;IF(COUNTIFS('Agenda 2026'!$Q$2:$Q$376,DATE(2026,9,26),'Agenda 2026'!$M$2:$M$376,1)&gt;=12,CHAR(10)&amp;IFERROR(INDEX('Agenda 2026'!$B$2:$B$376,MATCH(DATE(2026,9,26)*10+12,'Agenda 2026'!$S$2:$S$376,0)),""),"")</f>
        <v>26</v>
      </c>
      <c r="H85" s="58" t="str">
        <f t="array" ref="H85">27&amp;IF(COUNTIFS('Agenda 2026'!$Q$2:$Q$376,DATE(2026,9,27),'Agenda 2026'!$M$2:$M$376,1)&gt;=1,CHAR(10)&amp;IFERROR(INDEX('Agenda 2026'!$B$2:$B$376,MATCH(DATE(2026,9,27)*10+1,'Agenda 2026'!$S$2:$S$376,0)),""),"")&amp;IF(COUNTIFS('Agenda 2026'!$Q$2:$Q$376,DATE(2026,9,27),'Agenda 2026'!$M$2:$M$376,1)&gt;=2,CHAR(10)&amp;IFERROR(INDEX('Agenda 2026'!$B$2:$B$376,MATCH(DATE(2026,9,27)*10+2,'Agenda 2026'!$S$2:$S$376,0)),""),"")&amp;IF(COUNTIFS('Agenda 2026'!$Q$2:$Q$376,DATE(2026,9,27),'Agenda 2026'!$M$2:$M$376,1)&gt;=3,CHAR(10)&amp;IFERROR(INDEX('Agenda 2026'!$B$2:$B$376,MATCH(DATE(2026,9,27)*10+3,'Agenda 2026'!$S$2:$S$376,0)),""),"")&amp;IF(COUNTIFS('Agenda 2026'!$Q$2:$Q$376,DATE(2026,9,27),'Agenda 2026'!$M$2:$M$376,1)&gt;=4,CHAR(10)&amp;IFERROR(INDEX('Agenda 2026'!$B$2:$B$376,MATCH(DATE(2026,9,27)*10+4,'Agenda 2026'!$S$2:$S$376,0)),""),"")&amp;IF(COUNTIFS('Agenda 2026'!$Q$2:$Q$376,DATE(2026,9,27),'Agenda 2026'!$M$2:$M$376,1)&gt;=5,CHAR(10)&amp;IFERROR(INDEX('Agenda 2026'!$B$2:$B$376,MATCH(DATE(2026,9,27)*10+5,'Agenda 2026'!$S$2:$S$376,0)),""),"")&amp;IF(COUNTIFS('Agenda 2026'!$Q$2:$Q$376,DATE(2026,9,27),'Agenda 2026'!$M$2:$M$376,1)&gt;=6,CHAR(10)&amp;IFERROR(INDEX('Agenda 2026'!$B$2:$B$376,MATCH(DATE(2026,9,27)*10+6,'Agenda 2026'!$S$2:$S$376,0)),""),"")&amp;IF(COUNTIFS('Agenda 2026'!$Q$2:$Q$376,DATE(2026,9,27),'Agenda 2026'!$M$2:$M$376,1)&gt;=7,CHAR(10)&amp;IFERROR(INDEX('Agenda 2026'!$B$2:$B$376,MATCH(DATE(2026,9,27)*10+7,'Agenda 2026'!$S$2:$S$376,0)),""),"")&amp;IF(COUNTIFS('Agenda 2026'!$Q$2:$Q$376,DATE(2026,9,27),'Agenda 2026'!$M$2:$M$376,1)&gt;=8,CHAR(10)&amp;IFERROR(INDEX('Agenda 2026'!$B$2:$B$376,MATCH(DATE(2026,9,27)*10+8,'Agenda 2026'!$S$2:$S$376,0)),""),"")&amp;IF(COUNTIFS('Agenda 2026'!$Q$2:$Q$376,DATE(2026,9,27),'Agenda 2026'!$M$2:$M$376,1)&gt;=9,CHAR(10)&amp;IFERROR(INDEX('Agenda 2026'!$B$2:$B$376,MATCH(DATE(2026,9,27)*10+9,'Agenda 2026'!$S$2:$S$376,0)),""),"")&amp;IF(COUNTIFS('Agenda 2026'!$Q$2:$Q$376,DATE(2026,9,27),'Agenda 2026'!$M$2:$M$376,1)&gt;=10,CHAR(10)&amp;IFERROR(INDEX('Agenda 2026'!$B$2:$B$376,MATCH(DATE(2026,9,27)*10+10,'Agenda 2026'!$S$2:$S$376,0)),""),"")&amp;IF(COUNTIFS('Agenda 2026'!$Q$2:$Q$376,DATE(2026,9,27),'Agenda 2026'!$M$2:$M$376,1)&gt;=11,CHAR(10)&amp;IFERROR(INDEX('Agenda 2026'!$B$2:$B$376,MATCH(DATE(2026,9,27)*10+11,'Agenda 2026'!$S$2:$S$376,0)),""),"")&amp;IF(COUNTIFS('Agenda 2026'!$Q$2:$Q$376,DATE(2026,9,27),'Agenda 2026'!$M$2:$M$376,1)&gt;=12,CHAR(10)&amp;IFERROR(INDEX('Agenda 2026'!$B$2:$B$376,MATCH(DATE(2026,9,27)*10+12,'Agenda 2026'!$S$2:$S$376,0)),""),"")</f>
        <v>27</v>
      </c>
    </row>
    <row r="86" spans="1:8" ht="45.75" customHeight="1" x14ac:dyDescent="0.35">
      <c r="A86" s="17"/>
      <c r="B86" s="58" t="str">
        <f t="array" ref="B86">28&amp;IF(COUNTIFS('Agenda 2026'!$Q$2:$Q$376,DATE(2026,9,28),'Agenda 2026'!$M$2:$M$376,1)&gt;=1,CHAR(10)&amp;IFERROR(INDEX('Agenda 2026'!$B$2:$B$376,MATCH(DATE(2026,9,28)*10+1,'Agenda 2026'!$S$2:$S$376,0)),""),"")&amp;IF(COUNTIFS('Agenda 2026'!$Q$2:$Q$376,DATE(2026,9,28),'Agenda 2026'!$M$2:$M$376,1)&gt;=2,CHAR(10)&amp;IFERROR(INDEX('Agenda 2026'!$B$2:$B$376,MATCH(DATE(2026,9,28)*10+2,'Agenda 2026'!$S$2:$S$376,0)),""),"")&amp;IF(COUNTIFS('Agenda 2026'!$Q$2:$Q$376,DATE(2026,9,28),'Agenda 2026'!$M$2:$M$376,1)&gt;=3,CHAR(10)&amp;IFERROR(INDEX('Agenda 2026'!$B$2:$B$376,MATCH(DATE(2026,9,28)*10+3,'Agenda 2026'!$S$2:$S$376,0)),""),"")&amp;IF(COUNTIFS('Agenda 2026'!$Q$2:$Q$376,DATE(2026,9,28),'Agenda 2026'!$M$2:$M$376,1)&gt;=4,CHAR(10)&amp;IFERROR(INDEX('Agenda 2026'!$B$2:$B$376,MATCH(DATE(2026,9,28)*10+4,'Agenda 2026'!$S$2:$S$376,0)),""),"")&amp;IF(COUNTIFS('Agenda 2026'!$Q$2:$Q$376,DATE(2026,9,28),'Agenda 2026'!$M$2:$M$376,1)&gt;=5,CHAR(10)&amp;IFERROR(INDEX('Agenda 2026'!$B$2:$B$376,MATCH(DATE(2026,9,28)*10+5,'Agenda 2026'!$S$2:$S$376,0)),""),"")&amp;IF(COUNTIFS('Agenda 2026'!$Q$2:$Q$376,DATE(2026,9,28),'Agenda 2026'!$M$2:$M$376,1)&gt;=6,CHAR(10)&amp;IFERROR(INDEX('Agenda 2026'!$B$2:$B$376,MATCH(DATE(2026,9,28)*10+6,'Agenda 2026'!$S$2:$S$376,0)),""),"")&amp;IF(COUNTIFS('Agenda 2026'!$Q$2:$Q$376,DATE(2026,9,28),'Agenda 2026'!$M$2:$M$376,1)&gt;=7,CHAR(10)&amp;IFERROR(INDEX('Agenda 2026'!$B$2:$B$376,MATCH(DATE(2026,9,28)*10+7,'Agenda 2026'!$S$2:$S$376,0)),""),"")&amp;IF(COUNTIFS('Agenda 2026'!$Q$2:$Q$376,DATE(2026,9,28),'Agenda 2026'!$M$2:$M$376,1)&gt;=8,CHAR(10)&amp;IFERROR(INDEX('Agenda 2026'!$B$2:$B$376,MATCH(DATE(2026,9,28)*10+8,'Agenda 2026'!$S$2:$S$376,0)),""),"")&amp;IF(COUNTIFS('Agenda 2026'!$Q$2:$Q$376,DATE(2026,9,28),'Agenda 2026'!$M$2:$M$376,1)&gt;=9,CHAR(10)&amp;IFERROR(INDEX('Agenda 2026'!$B$2:$B$376,MATCH(DATE(2026,9,28)*10+9,'Agenda 2026'!$S$2:$S$376,0)),""),"")&amp;IF(COUNTIFS('Agenda 2026'!$Q$2:$Q$376,DATE(2026,9,28),'Agenda 2026'!$M$2:$M$376,1)&gt;=10,CHAR(10)&amp;IFERROR(INDEX('Agenda 2026'!$B$2:$B$376,MATCH(DATE(2026,9,28)*10+10,'Agenda 2026'!$S$2:$S$376,0)),""),"")&amp;IF(COUNTIFS('Agenda 2026'!$Q$2:$Q$376,DATE(2026,9,28),'Agenda 2026'!$M$2:$M$376,1)&gt;=11,CHAR(10)&amp;IFERROR(INDEX('Agenda 2026'!$B$2:$B$376,MATCH(DATE(2026,9,28)*10+11,'Agenda 2026'!$S$2:$S$376,0)),""),"")&amp;IF(COUNTIFS('Agenda 2026'!$Q$2:$Q$376,DATE(2026,9,28),'Agenda 2026'!$M$2:$M$376,1)&gt;=12,CHAR(10)&amp;IFERROR(INDEX('Agenda 2026'!$B$2:$B$376,MATCH(DATE(2026,9,28)*10+12,'Agenda 2026'!$S$2:$S$376,0)),""),"")</f>
        <v>28</v>
      </c>
      <c r="C86" s="58" t="str">
        <f t="array" ref="C86">29&amp;IF(COUNTIFS('Agenda 2026'!$Q$2:$Q$376,DATE(2026,9,29),'Agenda 2026'!$M$2:$M$376,1)&gt;=1,CHAR(10)&amp;IFERROR(INDEX('Agenda 2026'!$B$2:$B$376,MATCH(DATE(2026,9,29)*10+1,'Agenda 2026'!$S$2:$S$376,0)),""),"")&amp;IF(COUNTIFS('Agenda 2026'!$Q$2:$Q$376,DATE(2026,9,29),'Agenda 2026'!$M$2:$M$376,1)&gt;=2,CHAR(10)&amp;IFERROR(INDEX('Agenda 2026'!$B$2:$B$376,MATCH(DATE(2026,9,29)*10+2,'Agenda 2026'!$S$2:$S$376,0)),""),"")&amp;IF(COUNTIFS('Agenda 2026'!$Q$2:$Q$376,DATE(2026,9,29),'Agenda 2026'!$M$2:$M$376,1)&gt;=3,CHAR(10)&amp;IFERROR(INDEX('Agenda 2026'!$B$2:$B$376,MATCH(DATE(2026,9,29)*10+3,'Agenda 2026'!$S$2:$S$376,0)),""),"")&amp;IF(COUNTIFS('Agenda 2026'!$Q$2:$Q$376,DATE(2026,9,29),'Agenda 2026'!$M$2:$M$376,1)&gt;=4,CHAR(10)&amp;IFERROR(INDEX('Agenda 2026'!$B$2:$B$376,MATCH(DATE(2026,9,29)*10+4,'Agenda 2026'!$S$2:$S$376,0)),""),"")&amp;IF(COUNTIFS('Agenda 2026'!$Q$2:$Q$376,DATE(2026,9,29),'Agenda 2026'!$M$2:$M$376,1)&gt;=5,CHAR(10)&amp;IFERROR(INDEX('Agenda 2026'!$B$2:$B$376,MATCH(DATE(2026,9,29)*10+5,'Agenda 2026'!$S$2:$S$376,0)),""),"")&amp;IF(COUNTIFS('Agenda 2026'!$Q$2:$Q$376,DATE(2026,9,29),'Agenda 2026'!$M$2:$M$376,1)&gt;=6,CHAR(10)&amp;IFERROR(INDEX('Agenda 2026'!$B$2:$B$376,MATCH(DATE(2026,9,29)*10+6,'Agenda 2026'!$S$2:$S$376,0)),""),"")&amp;IF(COUNTIFS('Agenda 2026'!$Q$2:$Q$376,DATE(2026,9,29),'Agenda 2026'!$M$2:$M$376,1)&gt;=7,CHAR(10)&amp;IFERROR(INDEX('Agenda 2026'!$B$2:$B$376,MATCH(DATE(2026,9,29)*10+7,'Agenda 2026'!$S$2:$S$376,0)),""),"")&amp;IF(COUNTIFS('Agenda 2026'!$Q$2:$Q$376,DATE(2026,9,29),'Agenda 2026'!$M$2:$M$376,1)&gt;=8,CHAR(10)&amp;IFERROR(INDEX('Agenda 2026'!$B$2:$B$376,MATCH(DATE(2026,9,29)*10+8,'Agenda 2026'!$S$2:$S$376,0)),""),"")&amp;IF(COUNTIFS('Agenda 2026'!$Q$2:$Q$376,DATE(2026,9,29),'Agenda 2026'!$M$2:$M$376,1)&gt;=9,CHAR(10)&amp;IFERROR(INDEX('Agenda 2026'!$B$2:$B$376,MATCH(DATE(2026,9,29)*10+9,'Agenda 2026'!$S$2:$S$376,0)),""),"")&amp;IF(COUNTIFS('Agenda 2026'!$Q$2:$Q$376,DATE(2026,9,29),'Agenda 2026'!$M$2:$M$376,1)&gt;=10,CHAR(10)&amp;IFERROR(INDEX('Agenda 2026'!$B$2:$B$376,MATCH(DATE(2026,9,29)*10+10,'Agenda 2026'!$S$2:$S$376,0)),""),"")&amp;IF(COUNTIFS('Agenda 2026'!$Q$2:$Q$376,DATE(2026,9,29),'Agenda 2026'!$M$2:$M$376,1)&gt;=11,CHAR(10)&amp;IFERROR(INDEX('Agenda 2026'!$B$2:$B$376,MATCH(DATE(2026,9,29)*10+11,'Agenda 2026'!$S$2:$S$376,0)),""),"")&amp;IF(COUNTIFS('Agenda 2026'!$Q$2:$Q$376,DATE(2026,9,29),'Agenda 2026'!$M$2:$M$376,1)&gt;=12,CHAR(10)&amp;IFERROR(INDEX('Agenda 2026'!$B$2:$B$376,MATCH(DATE(2026,9,29)*10+12,'Agenda 2026'!$S$2:$S$376,0)),""),"")</f>
        <v>29</v>
      </c>
      <c r="D86" s="58" t="str">
        <f t="array" ref="D86">30&amp;IF(COUNTIFS('Agenda 2026'!$Q$2:$Q$376,DATE(2026,9,30),'Agenda 2026'!$M$2:$M$376,1)&gt;=1,CHAR(10)&amp;IFERROR(INDEX('Agenda 2026'!$B$2:$B$376,MATCH(DATE(2026,9,30)*10+1,'Agenda 2026'!$S$2:$S$376,0)),""),"")&amp;IF(COUNTIFS('Agenda 2026'!$Q$2:$Q$376,DATE(2026,9,30),'Agenda 2026'!$M$2:$M$376,1)&gt;=2,CHAR(10)&amp;IFERROR(INDEX('Agenda 2026'!$B$2:$B$376,MATCH(DATE(2026,9,30)*10+2,'Agenda 2026'!$S$2:$S$376,0)),""),"")&amp;IF(COUNTIFS('Agenda 2026'!$Q$2:$Q$376,DATE(2026,9,30),'Agenda 2026'!$M$2:$M$376,1)&gt;=3,CHAR(10)&amp;IFERROR(INDEX('Agenda 2026'!$B$2:$B$376,MATCH(DATE(2026,9,30)*10+3,'Agenda 2026'!$S$2:$S$376,0)),""),"")&amp;IF(COUNTIFS('Agenda 2026'!$Q$2:$Q$376,DATE(2026,9,30),'Agenda 2026'!$M$2:$M$376,1)&gt;=4,CHAR(10)&amp;IFERROR(INDEX('Agenda 2026'!$B$2:$B$376,MATCH(DATE(2026,9,30)*10+4,'Agenda 2026'!$S$2:$S$376,0)),""),"")&amp;IF(COUNTIFS('Agenda 2026'!$Q$2:$Q$376,DATE(2026,9,30),'Agenda 2026'!$M$2:$M$376,1)&gt;=5,CHAR(10)&amp;IFERROR(INDEX('Agenda 2026'!$B$2:$B$376,MATCH(DATE(2026,9,30)*10+5,'Agenda 2026'!$S$2:$S$376,0)),""),"")&amp;IF(COUNTIFS('Agenda 2026'!$Q$2:$Q$376,DATE(2026,9,30),'Agenda 2026'!$M$2:$M$376,1)&gt;=6,CHAR(10)&amp;IFERROR(INDEX('Agenda 2026'!$B$2:$B$376,MATCH(DATE(2026,9,30)*10+6,'Agenda 2026'!$S$2:$S$376,0)),""),"")&amp;IF(COUNTIFS('Agenda 2026'!$Q$2:$Q$376,DATE(2026,9,30),'Agenda 2026'!$M$2:$M$376,1)&gt;=7,CHAR(10)&amp;IFERROR(INDEX('Agenda 2026'!$B$2:$B$376,MATCH(DATE(2026,9,30)*10+7,'Agenda 2026'!$S$2:$S$376,0)),""),"")&amp;IF(COUNTIFS('Agenda 2026'!$Q$2:$Q$376,DATE(2026,9,30),'Agenda 2026'!$M$2:$M$376,1)&gt;=8,CHAR(10)&amp;IFERROR(INDEX('Agenda 2026'!$B$2:$B$376,MATCH(DATE(2026,9,30)*10+8,'Agenda 2026'!$S$2:$S$376,0)),""),"")&amp;IF(COUNTIFS('Agenda 2026'!$Q$2:$Q$376,DATE(2026,9,30),'Agenda 2026'!$M$2:$M$376,1)&gt;=9,CHAR(10)&amp;IFERROR(INDEX('Agenda 2026'!$B$2:$B$376,MATCH(DATE(2026,9,30)*10+9,'Agenda 2026'!$S$2:$S$376,0)),""),"")&amp;IF(COUNTIFS('Agenda 2026'!$Q$2:$Q$376,DATE(2026,9,30),'Agenda 2026'!$M$2:$M$376,1)&gt;=10,CHAR(10)&amp;IFERROR(INDEX('Agenda 2026'!$B$2:$B$376,MATCH(DATE(2026,9,30)*10+10,'Agenda 2026'!$S$2:$S$376,0)),""),"")&amp;IF(COUNTIFS('Agenda 2026'!$Q$2:$Q$376,DATE(2026,9,30),'Agenda 2026'!$M$2:$M$376,1)&gt;=11,CHAR(10)&amp;IFERROR(INDEX('Agenda 2026'!$B$2:$B$376,MATCH(DATE(2026,9,30)*10+11,'Agenda 2026'!$S$2:$S$376,0)),""),"")&amp;IF(COUNTIFS('Agenda 2026'!$Q$2:$Q$376,DATE(2026,9,30),'Agenda 2026'!$M$2:$M$376,1)&gt;=12,CHAR(10)&amp;IFERROR(INDEX('Agenda 2026'!$B$2:$B$376,MATCH(DATE(2026,9,30)*10+12,'Agenda 2026'!$S$2:$S$376,0)),""),"")</f>
        <v>30</v>
      </c>
      <c r="E86" s="57"/>
      <c r="F86" s="57"/>
      <c r="G86" s="57"/>
      <c r="H86" s="57"/>
    </row>
    <row r="87" spans="1:8" ht="21.75" customHeight="1" x14ac:dyDescent="0.35">
      <c r="A87" s="17"/>
      <c r="B87" s="57"/>
      <c r="C87" s="57"/>
      <c r="D87" s="57"/>
      <c r="E87" s="57"/>
      <c r="F87" s="57"/>
      <c r="G87" s="57"/>
      <c r="H87" s="57"/>
    </row>
    <row r="88" spans="1:8" ht="21.75" customHeight="1" x14ac:dyDescent="0.35">
      <c r="A88" s="17"/>
      <c r="B88" s="59"/>
      <c r="C88" s="59"/>
      <c r="D88" s="59"/>
      <c r="E88" s="59"/>
      <c r="F88" s="59"/>
      <c r="G88" s="59"/>
      <c r="H88" s="59"/>
    </row>
    <row r="89" spans="1:8" ht="21.75" customHeight="1" x14ac:dyDescent="0.35">
      <c r="A89" s="17"/>
      <c r="B89" s="10" t="s">
        <v>73</v>
      </c>
      <c r="C89" s="10"/>
      <c r="D89" s="10"/>
      <c r="E89" s="10"/>
      <c r="F89" s="10"/>
      <c r="G89" s="10"/>
      <c r="H89" s="10"/>
    </row>
    <row r="90" spans="1:8" ht="15.75" customHeight="1" x14ac:dyDescent="0.35">
      <c r="A90" s="17"/>
      <c r="B90" s="56" t="s">
        <v>58</v>
      </c>
      <c r="C90" s="56" t="s">
        <v>59</v>
      </c>
      <c r="D90" s="56" t="s">
        <v>60</v>
      </c>
      <c r="E90" s="56" t="s">
        <v>61</v>
      </c>
      <c r="F90" s="56" t="s">
        <v>62</v>
      </c>
      <c r="G90" s="56" t="s">
        <v>63</v>
      </c>
      <c r="H90" s="56" t="s">
        <v>64</v>
      </c>
    </row>
    <row r="91" spans="1:8" ht="33.75" customHeight="1" x14ac:dyDescent="0.35">
      <c r="A91" s="17"/>
      <c r="B91" s="57"/>
      <c r="C91" s="57"/>
      <c r="D91" s="57"/>
      <c r="E91" s="58" t="str">
        <f t="array" ref="E91">1&amp;IF(COUNTIFS('Agenda 2026'!$Q$2:$Q$376,DATE(2026,10,1),'Agenda 2026'!$M$2:$M$376,1)&gt;=1,CHAR(10)&amp;IFERROR(INDEX('Agenda 2026'!$B$2:$B$376,MATCH(DATE(2026,10,1)*10+1,'Agenda 2026'!$S$2:$S$376,0)),""),"")&amp;IF(COUNTIFS('Agenda 2026'!$Q$2:$Q$376,DATE(2026,10,1),'Agenda 2026'!$M$2:$M$376,1)&gt;=2,CHAR(10)&amp;IFERROR(INDEX('Agenda 2026'!$B$2:$B$376,MATCH(DATE(2026,10,1)*10+2,'Agenda 2026'!$S$2:$S$376,0)),""),"")&amp;IF(COUNTIFS('Agenda 2026'!$Q$2:$Q$376,DATE(2026,10,1),'Agenda 2026'!$M$2:$M$376,1)&gt;=3,CHAR(10)&amp;IFERROR(INDEX('Agenda 2026'!$B$2:$B$376,MATCH(DATE(2026,10,1)*10+3,'Agenda 2026'!$S$2:$S$376,0)),""),"")&amp;IF(COUNTIFS('Agenda 2026'!$Q$2:$Q$376,DATE(2026,10,1),'Agenda 2026'!$M$2:$M$376,1)&gt;=4,CHAR(10)&amp;IFERROR(INDEX('Agenda 2026'!$B$2:$B$376,MATCH(DATE(2026,10,1)*10+4,'Agenda 2026'!$S$2:$S$376,0)),""),"")&amp;IF(COUNTIFS('Agenda 2026'!$Q$2:$Q$376,DATE(2026,10,1),'Agenda 2026'!$M$2:$M$376,1)&gt;=5,CHAR(10)&amp;IFERROR(INDEX('Agenda 2026'!$B$2:$B$376,MATCH(DATE(2026,10,1)*10+5,'Agenda 2026'!$S$2:$S$376,0)),""),"")&amp;IF(COUNTIFS('Agenda 2026'!$Q$2:$Q$376,DATE(2026,10,1),'Agenda 2026'!$M$2:$M$376,1)&gt;=6,CHAR(10)&amp;IFERROR(INDEX('Agenda 2026'!$B$2:$B$376,MATCH(DATE(2026,10,1)*10+6,'Agenda 2026'!$S$2:$S$376,0)),""),"")&amp;IF(COUNTIFS('Agenda 2026'!$Q$2:$Q$376,DATE(2026,10,1),'Agenda 2026'!$M$2:$M$376,1)&gt;=7,CHAR(10)&amp;IFERROR(INDEX('Agenda 2026'!$B$2:$B$376,MATCH(DATE(2026,10,1)*10+7,'Agenda 2026'!$S$2:$S$376,0)),""),"")&amp;IF(COUNTIFS('Agenda 2026'!$Q$2:$Q$376,DATE(2026,10,1),'Agenda 2026'!$M$2:$M$376,1)&gt;=8,CHAR(10)&amp;IFERROR(INDEX('Agenda 2026'!$B$2:$B$376,MATCH(DATE(2026,10,1)*10+8,'Agenda 2026'!$S$2:$S$376,0)),""),"")&amp;IF(COUNTIFS('Agenda 2026'!$Q$2:$Q$376,DATE(2026,10,1),'Agenda 2026'!$M$2:$M$376,1)&gt;=9,CHAR(10)&amp;IFERROR(INDEX('Agenda 2026'!$B$2:$B$376,MATCH(DATE(2026,10,1)*10+9,'Agenda 2026'!$S$2:$S$376,0)),""),"")&amp;IF(COUNTIFS('Agenda 2026'!$Q$2:$Q$376,DATE(2026,10,1),'Agenda 2026'!$M$2:$M$376,1)&gt;=10,CHAR(10)&amp;IFERROR(INDEX('Agenda 2026'!$B$2:$B$376,MATCH(DATE(2026,10,1)*10+10,'Agenda 2026'!$S$2:$S$376,0)),""),"")&amp;IF(COUNTIFS('Agenda 2026'!$Q$2:$Q$376,DATE(2026,10,1),'Agenda 2026'!$M$2:$M$376,1)&gt;=11,CHAR(10)&amp;IFERROR(INDEX('Agenda 2026'!$B$2:$B$376,MATCH(DATE(2026,10,1)*10+11,'Agenda 2026'!$S$2:$S$376,0)),""),"")&amp;IF(COUNTIFS('Agenda 2026'!$Q$2:$Q$376,DATE(2026,10,1),'Agenda 2026'!$M$2:$M$376,1)&gt;=12,CHAR(10)&amp;IFERROR(INDEX('Agenda 2026'!$B$2:$B$376,MATCH(DATE(2026,10,1)*10+12,'Agenda 2026'!$S$2:$S$376,0)),""),"")</f>
        <v>1</v>
      </c>
      <c r="F91" s="58" t="str">
        <f t="array" ref="F91">2&amp;IF(COUNTIFS('Agenda 2026'!$Q$2:$Q$376,DATE(2026,10,2),'Agenda 2026'!$M$2:$M$376,1)&gt;=1,CHAR(10)&amp;IFERROR(INDEX('Agenda 2026'!$B$2:$B$376,MATCH(DATE(2026,10,2)*10+1,'Agenda 2026'!$S$2:$S$376,0)),""),"")&amp;IF(COUNTIFS('Agenda 2026'!$Q$2:$Q$376,DATE(2026,10,2),'Agenda 2026'!$M$2:$M$376,1)&gt;=2,CHAR(10)&amp;IFERROR(INDEX('Agenda 2026'!$B$2:$B$376,MATCH(DATE(2026,10,2)*10+2,'Agenda 2026'!$S$2:$S$376,0)),""),"")&amp;IF(COUNTIFS('Agenda 2026'!$Q$2:$Q$376,DATE(2026,10,2),'Agenda 2026'!$M$2:$M$376,1)&gt;=3,CHAR(10)&amp;IFERROR(INDEX('Agenda 2026'!$B$2:$B$376,MATCH(DATE(2026,10,2)*10+3,'Agenda 2026'!$S$2:$S$376,0)),""),"")&amp;IF(COUNTIFS('Agenda 2026'!$Q$2:$Q$376,DATE(2026,10,2),'Agenda 2026'!$M$2:$M$376,1)&gt;=4,CHAR(10)&amp;IFERROR(INDEX('Agenda 2026'!$B$2:$B$376,MATCH(DATE(2026,10,2)*10+4,'Agenda 2026'!$S$2:$S$376,0)),""),"")&amp;IF(COUNTIFS('Agenda 2026'!$Q$2:$Q$376,DATE(2026,10,2),'Agenda 2026'!$M$2:$M$376,1)&gt;=5,CHAR(10)&amp;IFERROR(INDEX('Agenda 2026'!$B$2:$B$376,MATCH(DATE(2026,10,2)*10+5,'Agenda 2026'!$S$2:$S$376,0)),""),"")&amp;IF(COUNTIFS('Agenda 2026'!$Q$2:$Q$376,DATE(2026,10,2),'Agenda 2026'!$M$2:$M$376,1)&gt;=6,CHAR(10)&amp;IFERROR(INDEX('Agenda 2026'!$B$2:$B$376,MATCH(DATE(2026,10,2)*10+6,'Agenda 2026'!$S$2:$S$376,0)),""),"")&amp;IF(COUNTIFS('Agenda 2026'!$Q$2:$Q$376,DATE(2026,10,2),'Agenda 2026'!$M$2:$M$376,1)&gt;=7,CHAR(10)&amp;IFERROR(INDEX('Agenda 2026'!$B$2:$B$376,MATCH(DATE(2026,10,2)*10+7,'Agenda 2026'!$S$2:$S$376,0)),""),"")&amp;IF(COUNTIFS('Agenda 2026'!$Q$2:$Q$376,DATE(2026,10,2),'Agenda 2026'!$M$2:$M$376,1)&gt;=8,CHAR(10)&amp;IFERROR(INDEX('Agenda 2026'!$B$2:$B$376,MATCH(DATE(2026,10,2)*10+8,'Agenda 2026'!$S$2:$S$376,0)),""),"")&amp;IF(COUNTIFS('Agenda 2026'!$Q$2:$Q$376,DATE(2026,10,2),'Agenda 2026'!$M$2:$M$376,1)&gt;=9,CHAR(10)&amp;IFERROR(INDEX('Agenda 2026'!$B$2:$B$376,MATCH(DATE(2026,10,2)*10+9,'Agenda 2026'!$S$2:$S$376,0)),""),"")&amp;IF(COUNTIFS('Agenda 2026'!$Q$2:$Q$376,DATE(2026,10,2),'Agenda 2026'!$M$2:$M$376,1)&gt;=10,CHAR(10)&amp;IFERROR(INDEX('Agenda 2026'!$B$2:$B$376,MATCH(DATE(2026,10,2)*10+10,'Agenda 2026'!$S$2:$S$376,0)),""),"")&amp;IF(COUNTIFS('Agenda 2026'!$Q$2:$Q$376,DATE(2026,10,2),'Agenda 2026'!$M$2:$M$376,1)&gt;=11,CHAR(10)&amp;IFERROR(INDEX('Agenda 2026'!$B$2:$B$376,MATCH(DATE(2026,10,2)*10+11,'Agenda 2026'!$S$2:$S$376,0)),""),"")&amp;IF(COUNTIFS('Agenda 2026'!$Q$2:$Q$376,DATE(2026,10,2),'Agenda 2026'!$M$2:$M$376,1)&gt;=12,CHAR(10)&amp;IFERROR(INDEX('Agenda 2026'!$B$2:$B$376,MATCH(DATE(2026,10,2)*10+12,'Agenda 2026'!$S$2:$S$376,0)),""),"")</f>
        <v>2</v>
      </c>
      <c r="G91" s="58" t="str">
        <f t="array" ref="G91">3&amp;IF(COUNTIFS('Agenda 2026'!$Q$2:$Q$376,DATE(2026,10,3),'Agenda 2026'!$M$2:$M$376,1)&gt;=1,CHAR(10)&amp;IFERROR(INDEX('Agenda 2026'!$B$2:$B$376,MATCH(DATE(2026,10,3)*10+1,'Agenda 2026'!$S$2:$S$376,0)),""),"")&amp;IF(COUNTIFS('Agenda 2026'!$Q$2:$Q$376,DATE(2026,10,3),'Agenda 2026'!$M$2:$M$376,1)&gt;=2,CHAR(10)&amp;IFERROR(INDEX('Agenda 2026'!$B$2:$B$376,MATCH(DATE(2026,10,3)*10+2,'Agenda 2026'!$S$2:$S$376,0)),""),"")&amp;IF(COUNTIFS('Agenda 2026'!$Q$2:$Q$376,DATE(2026,10,3),'Agenda 2026'!$M$2:$M$376,1)&gt;=3,CHAR(10)&amp;IFERROR(INDEX('Agenda 2026'!$B$2:$B$376,MATCH(DATE(2026,10,3)*10+3,'Agenda 2026'!$S$2:$S$376,0)),""),"")&amp;IF(COUNTIFS('Agenda 2026'!$Q$2:$Q$376,DATE(2026,10,3),'Agenda 2026'!$M$2:$M$376,1)&gt;=4,CHAR(10)&amp;IFERROR(INDEX('Agenda 2026'!$B$2:$B$376,MATCH(DATE(2026,10,3)*10+4,'Agenda 2026'!$S$2:$S$376,0)),""),"")&amp;IF(COUNTIFS('Agenda 2026'!$Q$2:$Q$376,DATE(2026,10,3),'Agenda 2026'!$M$2:$M$376,1)&gt;=5,CHAR(10)&amp;IFERROR(INDEX('Agenda 2026'!$B$2:$B$376,MATCH(DATE(2026,10,3)*10+5,'Agenda 2026'!$S$2:$S$376,0)),""),"")&amp;IF(COUNTIFS('Agenda 2026'!$Q$2:$Q$376,DATE(2026,10,3),'Agenda 2026'!$M$2:$M$376,1)&gt;=6,CHAR(10)&amp;IFERROR(INDEX('Agenda 2026'!$B$2:$B$376,MATCH(DATE(2026,10,3)*10+6,'Agenda 2026'!$S$2:$S$376,0)),""),"")&amp;IF(COUNTIFS('Agenda 2026'!$Q$2:$Q$376,DATE(2026,10,3),'Agenda 2026'!$M$2:$M$376,1)&gt;=7,CHAR(10)&amp;IFERROR(INDEX('Agenda 2026'!$B$2:$B$376,MATCH(DATE(2026,10,3)*10+7,'Agenda 2026'!$S$2:$S$376,0)),""),"")&amp;IF(COUNTIFS('Agenda 2026'!$Q$2:$Q$376,DATE(2026,10,3),'Agenda 2026'!$M$2:$M$376,1)&gt;=8,CHAR(10)&amp;IFERROR(INDEX('Agenda 2026'!$B$2:$B$376,MATCH(DATE(2026,10,3)*10+8,'Agenda 2026'!$S$2:$S$376,0)),""),"")&amp;IF(COUNTIFS('Agenda 2026'!$Q$2:$Q$376,DATE(2026,10,3),'Agenda 2026'!$M$2:$M$376,1)&gt;=9,CHAR(10)&amp;IFERROR(INDEX('Agenda 2026'!$B$2:$B$376,MATCH(DATE(2026,10,3)*10+9,'Agenda 2026'!$S$2:$S$376,0)),""),"")&amp;IF(COUNTIFS('Agenda 2026'!$Q$2:$Q$376,DATE(2026,10,3),'Agenda 2026'!$M$2:$M$376,1)&gt;=10,CHAR(10)&amp;IFERROR(INDEX('Agenda 2026'!$B$2:$B$376,MATCH(DATE(2026,10,3)*10+10,'Agenda 2026'!$S$2:$S$376,0)),""),"")&amp;IF(COUNTIFS('Agenda 2026'!$Q$2:$Q$376,DATE(2026,10,3),'Agenda 2026'!$M$2:$M$376,1)&gt;=11,CHAR(10)&amp;IFERROR(INDEX('Agenda 2026'!$B$2:$B$376,MATCH(DATE(2026,10,3)*10+11,'Agenda 2026'!$S$2:$S$376,0)),""),"")&amp;IF(COUNTIFS('Agenda 2026'!$Q$2:$Q$376,DATE(2026,10,3),'Agenda 2026'!$M$2:$M$376,1)&gt;=12,CHAR(10)&amp;IFERROR(INDEX('Agenda 2026'!$B$2:$B$376,MATCH(DATE(2026,10,3)*10+12,'Agenda 2026'!$S$2:$S$376,0)),""),"")</f>
        <v>3</v>
      </c>
      <c r="H91" s="58" t="str">
        <f t="array" ref="H91">4&amp;IF(COUNTIFS('Agenda 2026'!$Q$2:$Q$376,DATE(2026,10,4),'Agenda 2026'!$M$2:$M$376,1)&gt;=1,CHAR(10)&amp;IFERROR(INDEX('Agenda 2026'!$B$2:$B$376,MATCH(DATE(2026,10,4)*10+1,'Agenda 2026'!$S$2:$S$376,0)),""),"")&amp;IF(COUNTIFS('Agenda 2026'!$Q$2:$Q$376,DATE(2026,10,4),'Agenda 2026'!$M$2:$M$376,1)&gt;=2,CHAR(10)&amp;IFERROR(INDEX('Agenda 2026'!$B$2:$B$376,MATCH(DATE(2026,10,4)*10+2,'Agenda 2026'!$S$2:$S$376,0)),""),"")&amp;IF(COUNTIFS('Agenda 2026'!$Q$2:$Q$376,DATE(2026,10,4),'Agenda 2026'!$M$2:$M$376,1)&gt;=3,CHAR(10)&amp;IFERROR(INDEX('Agenda 2026'!$B$2:$B$376,MATCH(DATE(2026,10,4)*10+3,'Agenda 2026'!$S$2:$S$376,0)),""),"")&amp;IF(COUNTIFS('Agenda 2026'!$Q$2:$Q$376,DATE(2026,10,4),'Agenda 2026'!$M$2:$M$376,1)&gt;=4,CHAR(10)&amp;IFERROR(INDEX('Agenda 2026'!$B$2:$B$376,MATCH(DATE(2026,10,4)*10+4,'Agenda 2026'!$S$2:$S$376,0)),""),"")&amp;IF(COUNTIFS('Agenda 2026'!$Q$2:$Q$376,DATE(2026,10,4),'Agenda 2026'!$M$2:$M$376,1)&gt;=5,CHAR(10)&amp;IFERROR(INDEX('Agenda 2026'!$B$2:$B$376,MATCH(DATE(2026,10,4)*10+5,'Agenda 2026'!$S$2:$S$376,0)),""),"")&amp;IF(COUNTIFS('Agenda 2026'!$Q$2:$Q$376,DATE(2026,10,4),'Agenda 2026'!$M$2:$M$376,1)&gt;=6,CHAR(10)&amp;IFERROR(INDEX('Agenda 2026'!$B$2:$B$376,MATCH(DATE(2026,10,4)*10+6,'Agenda 2026'!$S$2:$S$376,0)),""),"")&amp;IF(COUNTIFS('Agenda 2026'!$Q$2:$Q$376,DATE(2026,10,4),'Agenda 2026'!$M$2:$M$376,1)&gt;=7,CHAR(10)&amp;IFERROR(INDEX('Agenda 2026'!$B$2:$B$376,MATCH(DATE(2026,10,4)*10+7,'Agenda 2026'!$S$2:$S$376,0)),""),"")&amp;IF(COUNTIFS('Agenda 2026'!$Q$2:$Q$376,DATE(2026,10,4),'Agenda 2026'!$M$2:$M$376,1)&gt;=8,CHAR(10)&amp;IFERROR(INDEX('Agenda 2026'!$B$2:$B$376,MATCH(DATE(2026,10,4)*10+8,'Agenda 2026'!$S$2:$S$376,0)),""),"")&amp;IF(COUNTIFS('Agenda 2026'!$Q$2:$Q$376,DATE(2026,10,4),'Agenda 2026'!$M$2:$M$376,1)&gt;=9,CHAR(10)&amp;IFERROR(INDEX('Agenda 2026'!$B$2:$B$376,MATCH(DATE(2026,10,4)*10+9,'Agenda 2026'!$S$2:$S$376,0)),""),"")&amp;IF(COUNTIFS('Agenda 2026'!$Q$2:$Q$376,DATE(2026,10,4),'Agenda 2026'!$M$2:$M$376,1)&gt;=10,CHAR(10)&amp;IFERROR(INDEX('Agenda 2026'!$B$2:$B$376,MATCH(DATE(2026,10,4)*10+10,'Agenda 2026'!$S$2:$S$376,0)),""),"")&amp;IF(COUNTIFS('Agenda 2026'!$Q$2:$Q$376,DATE(2026,10,4),'Agenda 2026'!$M$2:$M$376,1)&gt;=11,CHAR(10)&amp;IFERROR(INDEX('Agenda 2026'!$B$2:$B$376,MATCH(DATE(2026,10,4)*10+11,'Agenda 2026'!$S$2:$S$376,0)),""),"")&amp;IF(COUNTIFS('Agenda 2026'!$Q$2:$Q$376,DATE(2026,10,4),'Agenda 2026'!$M$2:$M$376,1)&gt;=12,CHAR(10)&amp;IFERROR(INDEX('Agenda 2026'!$B$2:$B$376,MATCH(DATE(2026,10,4)*10+12,'Agenda 2026'!$S$2:$S$376,0)),""),"")</f>
        <v>4</v>
      </c>
    </row>
    <row r="92" spans="1:8" ht="45.75" customHeight="1" x14ac:dyDescent="0.35">
      <c r="A92" s="17"/>
      <c r="B92" s="58" t="str">
        <f t="array" ref="B92">5&amp;IF(COUNTIFS('Agenda 2026'!$Q$2:$Q$376,DATE(2026,10,5),'Agenda 2026'!$M$2:$M$376,1)&gt;=1,CHAR(10)&amp;IFERROR(INDEX('Agenda 2026'!$B$2:$B$376,MATCH(DATE(2026,10,5)*10+1,'Agenda 2026'!$S$2:$S$376,0)),""),"")&amp;IF(COUNTIFS('Agenda 2026'!$Q$2:$Q$376,DATE(2026,10,5),'Agenda 2026'!$M$2:$M$376,1)&gt;=2,CHAR(10)&amp;IFERROR(INDEX('Agenda 2026'!$B$2:$B$376,MATCH(DATE(2026,10,5)*10+2,'Agenda 2026'!$S$2:$S$376,0)),""),"")&amp;IF(COUNTIFS('Agenda 2026'!$Q$2:$Q$376,DATE(2026,10,5),'Agenda 2026'!$M$2:$M$376,1)&gt;=3,CHAR(10)&amp;IFERROR(INDEX('Agenda 2026'!$B$2:$B$376,MATCH(DATE(2026,10,5)*10+3,'Agenda 2026'!$S$2:$S$376,0)),""),"")&amp;IF(COUNTIFS('Agenda 2026'!$Q$2:$Q$376,DATE(2026,10,5),'Agenda 2026'!$M$2:$M$376,1)&gt;=4,CHAR(10)&amp;IFERROR(INDEX('Agenda 2026'!$B$2:$B$376,MATCH(DATE(2026,10,5)*10+4,'Agenda 2026'!$S$2:$S$376,0)),""),"")&amp;IF(COUNTIFS('Agenda 2026'!$Q$2:$Q$376,DATE(2026,10,5),'Agenda 2026'!$M$2:$M$376,1)&gt;=5,CHAR(10)&amp;IFERROR(INDEX('Agenda 2026'!$B$2:$B$376,MATCH(DATE(2026,10,5)*10+5,'Agenda 2026'!$S$2:$S$376,0)),""),"")&amp;IF(COUNTIFS('Agenda 2026'!$Q$2:$Q$376,DATE(2026,10,5),'Agenda 2026'!$M$2:$M$376,1)&gt;=6,CHAR(10)&amp;IFERROR(INDEX('Agenda 2026'!$B$2:$B$376,MATCH(DATE(2026,10,5)*10+6,'Agenda 2026'!$S$2:$S$376,0)),""),"")&amp;IF(COUNTIFS('Agenda 2026'!$Q$2:$Q$376,DATE(2026,10,5),'Agenda 2026'!$M$2:$M$376,1)&gt;=7,CHAR(10)&amp;IFERROR(INDEX('Agenda 2026'!$B$2:$B$376,MATCH(DATE(2026,10,5)*10+7,'Agenda 2026'!$S$2:$S$376,0)),""),"")&amp;IF(COUNTIFS('Agenda 2026'!$Q$2:$Q$376,DATE(2026,10,5),'Agenda 2026'!$M$2:$M$376,1)&gt;=8,CHAR(10)&amp;IFERROR(INDEX('Agenda 2026'!$B$2:$B$376,MATCH(DATE(2026,10,5)*10+8,'Agenda 2026'!$S$2:$S$376,0)),""),"")&amp;IF(COUNTIFS('Agenda 2026'!$Q$2:$Q$376,DATE(2026,10,5),'Agenda 2026'!$M$2:$M$376,1)&gt;=9,CHAR(10)&amp;IFERROR(INDEX('Agenda 2026'!$B$2:$B$376,MATCH(DATE(2026,10,5)*10+9,'Agenda 2026'!$S$2:$S$376,0)),""),"")&amp;IF(COUNTIFS('Agenda 2026'!$Q$2:$Q$376,DATE(2026,10,5),'Agenda 2026'!$M$2:$M$376,1)&gt;=10,CHAR(10)&amp;IFERROR(INDEX('Agenda 2026'!$B$2:$B$376,MATCH(DATE(2026,10,5)*10+10,'Agenda 2026'!$S$2:$S$376,0)),""),"")&amp;IF(COUNTIFS('Agenda 2026'!$Q$2:$Q$376,DATE(2026,10,5),'Agenda 2026'!$M$2:$M$376,1)&gt;=11,CHAR(10)&amp;IFERROR(INDEX('Agenda 2026'!$B$2:$B$376,MATCH(DATE(2026,10,5)*10+11,'Agenda 2026'!$S$2:$S$376,0)),""),"")&amp;IF(COUNTIFS('Agenda 2026'!$Q$2:$Q$376,DATE(2026,10,5),'Agenda 2026'!$M$2:$M$376,1)&gt;=12,CHAR(10)&amp;IFERROR(INDEX('Agenda 2026'!$B$2:$B$376,MATCH(DATE(2026,10,5)*10+12,'Agenda 2026'!$S$2:$S$376,0)),""),"")</f>
        <v>5</v>
      </c>
      <c r="C92" s="58" t="str">
        <f t="array" ref="C92">6&amp;IF(COUNTIFS('Agenda 2026'!$Q$2:$Q$376,DATE(2026,10,6),'Agenda 2026'!$M$2:$M$376,1)&gt;=1,CHAR(10)&amp;IFERROR(INDEX('Agenda 2026'!$B$2:$B$376,MATCH(DATE(2026,10,6)*10+1,'Agenda 2026'!$S$2:$S$376,0)),""),"")&amp;IF(COUNTIFS('Agenda 2026'!$Q$2:$Q$376,DATE(2026,10,6),'Agenda 2026'!$M$2:$M$376,1)&gt;=2,CHAR(10)&amp;IFERROR(INDEX('Agenda 2026'!$B$2:$B$376,MATCH(DATE(2026,10,6)*10+2,'Agenda 2026'!$S$2:$S$376,0)),""),"")&amp;IF(COUNTIFS('Agenda 2026'!$Q$2:$Q$376,DATE(2026,10,6),'Agenda 2026'!$M$2:$M$376,1)&gt;=3,CHAR(10)&amp;IFERROR(INDEX('Agenda 2026'!$B$2:$B$376,MATCH(DATE(2026,10,6)*10+3,'Agenda 2026'!$S$2:$S$376,0)),""),"")&amp;IF(COUNTIFS('Agenda 2026'!$Q$2:$Q$376,DATE(2026,10,6),'Agenda 2026'!$M$2:$M$376,1)&gt;=4,CHAR(10)&amp;IFERROR(INDEX('Agenda 2026'!$B$2:$B$376,MATCH(DATE(2026,10,6)*10+4,'Agenda 2026'!$S$2:$S$376,0)),""),"")&amp;IF(COUNTIFS('Agenda 2026'!$Q$2:$Q$376,DATE(2026,10,6),'Agenda 2026'!$M$2:$M$376,1)&gt;=5,CHAR(10)&amp;IFERROR(INDEX('Agenda 2026'!$B$2:$B$376,MATCH(DATE(2026,10,6)*10+5,'Agenda 2026'!$S$2:$S$376,0)),""),"")&amp;IF(COUNTIFS('Agenda 2026'!$Q$2:$Q$376,DATE(2026,10,6),'Agenda 2026'!$M$2:$M$376,1)&gt;=6,CHAR(10)&amp;IFERROR(INDEX('Agenda 2026'!$B$2:$B$376,MATCH(DATE(2026,10,6)*10+6,'Agenda 2026'!$S$2:$S$376,0)),""),"")&amp;IF(COUNTIFS('Agenda 2026'!$Q$2:$Q$376,DATE(2026,10,6),'Agenda 2026'!$M$2:$M$376,1)&gt;=7,CHAR(10)&amp;IFERROR(INDEX('Agenda 2026'!$B$2:$B$376,MATCH(DATE(2026,10,6)*10+7,'Agenda 2026'!$S$2:$S$376,0)),""),"")&amp;IF(COUNTIFS('Agenda 2026'!$Q$2:$Q$376,DATE(2026,10,6),'Agenda 2026'!$M$2:$M$376,1)&gt;=8,CHAR(10)&amp;IFERROR(INDEX('Agenda 2026'!$B$2:$B$376,MATCH(DATE(2026,10,6)*10+8,'Agenda 2026'!$S$2:$S$376,0)),""),"")&amp;IF(COUNTIFS('Agenda 2026'!$Q$2:$Q$376,DATE(2026,10,6),'Agenda 2026'!$M$2:$M$376,1)&gt;=9,CHAR(10)&amp;IFERROR(INDEX('Agenda 2026'!$B$2:$B$376,MATCH(DATE(2026,10,6)*10+9,'Agenda 2026'!$S$2:$S$376,0)),""),"")&amp;IF(COUNTIFS('Agenda 2026'!$Q$2:$Q$376,DATE(2026,10,6),'Agenda 2026'!$M$2:$M$376,1)&gt;=10,CHAR(10)&amp;IFERROR(INDEX('Agenda 2026'!$B$2:$B$376,MATCH(DATE(2026,10,6)*10+10,'Agenda 2026'!$S$2:$S$376,0)),""),"")&amp;IF(COUNTIFS('Agenda 2026'!$Q$2:$Q$376,DATE(2026,10,6),'Agenda 2026'!$M$2:$M$376,1)&gt;=11,CHAR(10)&amp;IFERROR(INDEX('Agenda 2026'!$B$2:$B$376,MATCH(DATE(2026,10,6)*10+11,'Agenda 2026'!$S$2:$S$376,0)),""),"")&amp;IF(COUNTIFS('Agenda 2026'!$Q$2:$Q$376,DATE(2026,10,6),'Agenda 2026'!$M$2:$M$376,1)&gt;=12,CHAR(10)&amp;IFERROR(INDEX('Agenda 2026'!$B$2:$B$376,MATCH(DATE(2026,10,6)*10+12,'Agenda 2026'!$S$2:$S$376,0)),""),"")</f>
        <v>6</v>
      </c>
      <c r="D92" s="58" t="str">
        <f t="array" ref="D92">7&amp;IF(COUNTIFS('Agenda 2026'!$Q$2:$Q$376,DATE(2026,10,7),'Agenda 2026'!$M$2:$M$376,1)&gt;=1,CHAR(10)&amp;IFERROR(INDEX('Agenda 2026'!$B$2:$B$376,MATCH(DATE(2026,10,7)*10+1,'Agenda 2026'!$S$2:$S$376,0)),""),"")&amp;IF(COUNTIFS('Agenda 2026'!$Q$2:$Q$376,DATE(2026,10,7),'Agenda 2026'!$M$2:$M$376,1)&gt;=2,CHAR(10)&amp;IFERROR(INDEX('Agenda 2026'!$B$2:$B$376,MATCH(DATE(2026,10,7)*10+2,'Agenda 2026'!$S$2:$S$376,0)),""),"")&amp;IF(COUNTIFS('Agenda 2026'!$Q$2:$Q$376,DATE(2026,10,7),'Agenda 2026'!$M$2:$M$376,1)&gt;=3,CHAR(10)&amp;IFERROR(INDEX('Agenda 2026'!$B$2:$B$376,MATCH(DATE(2026,10,7)*10+3,'Agenda 2026'!$S$2:$S$376,0)),""),"")&amp;IF(COUNTIFS('Agenda 2026'!$Q$2:$Q$376,DATE(2026,10,7),'Agenda 2026'!$M$2:$M$376,1)&gt;=4,CHAR(10)&amp;IFERROR(INDEX('Agenda 2026'!$B$2:$B$376,MATCH(DATE(2026,10,7)*10+4,'Agenda 2026'!$S$2:$S$376,0)),""),"")&amp;IF(COUNTIFS('Agenda 2026'!$Q$2:$Q$376,DATE(2026,10,7),'Agenda 2026'!$M$2:$M$376,1)&gt;=5,CHAR(10)&amp;IFERROR(INDEX('Agenda 2026'!$B$2:$B$376,MATCH(DATE(2026,10,7)*10+5,'Agenda 2026'!$S$2:$S$376,0)),""),"")&amp;IF(COUNTIFS('Agenda 2026'!$Q$2:$Q$376,DATE(2026,10,7),'Agenda 2026'!$M$2:$M$376,1)&gt;=6,CHAR(10)&amp;IFERROR(INDEX('Agenda 2026'!$B$2:$B$376,MATCH(DATE(2026,10,7)*10+6,'Agenda 2026'!$S$2:$S$376,0)),""),"")&amp;IF(COUNTIFS('Agenda 2026'!$Q$2:$Q$376,DATE(2026,10,7),'Agenda 2026'!$M$2:$M$376,1)&gt;=7,CHAR(10)&amp;IFERROR(INDEX('Agenda 2026'!$B$2:$B$376,MATCH(DATE(2026,10,7)*10+7,'Agenda 2026'!$S$2:$S$376,0)),""),"")&amp;IF(COUNTIFS('Agenda 2026'!$Q$2:$Q$376,DATE(2026,10,7),'Agenda 2026'!$M$2:$M$376,1)&gt;=8,CHAR(10)&amp;IFERROR(INDEX('Agenda 2026'!$B$2:$B$376,MATCH(DATE(2026,10,7)*10+8,'Agenda 2026'!$S$2:$S$376,0)),""),"")&amp;IF(COUNTIFS('Agenda 2026'!$Q$2:$Q$376,DATE(2026,10,7),'Agenda 2026'!$M$2:$M$376,1)&gt;=9,CHAR(10)&amp;IFERROR(INDEX('Agenda 2026'!$B$2:$B$376,MATCH(DATE(2026,10,7)*10+9,'Agenda 2026'!$S$2:$S$376,0)),""),"")&amp;IF(COUNTIFS('Agenda 2026'!$Q$2:$Q$376,DATE(2026,10,7),'Agenda 2026'!$M$2:$M$376,1)&gt;=10,CHAR(10)&amp;IFERROR(INDEX('Agenda 2026'!$B$2:$B$376,MATCH(DATE(2026,10,7)*10+10,'Agenda 2026'!$S$2:$S$376,0)),""),"")&amp;IF(COUNTIFS('Agenda 2026'!$Q$2:$Q$376,DATE(2026,10,7),'Agenda 2026'!$M$2:$M$376,1)&gt;=11,CHAR(10)&amp;IFERROR(INDEX('Agenda 2026'!$B$2:$B$376,MATCH(DATE(2026,10,7)*10+11,'Agenda 2026'!$S$2:$S$376,0)),""),"")&amp;IF(COUNTIFS('Agenda 2026'!$Q$2:$Q$376,DATE(2026,10,7),'Agenda 2026'!$M$2:$M$376,1)&gt;=12,CHAR(10)&amp;IFERROR(INDEX('Agenda 2026'!$B$2:$B$376,MATCH(DATE(2026,10,7)*10+12,'Agenda 2026'!$S$2:$S$376,0)),""),"")</f>
        <v>7</v>
      </c>
      <c r="E92" s="58" t="str">
        <f t="array" ref="E92">8&amp;IF(COUNTIFS('Agenda 2026'!$Q$2:$Q$376,DATE(2026,10,8),'Agenda 2026'!$M$2:$M$376,1)&gt;=1,CHAR(10)&amp;IFERROR(INDEX('Agenda 2026'!$B$2:$B$376,MATCH(DATE(2026,10,8)*10+1,'Agenda 2026'!$S$2:$S$376,0)),""),"")&amp;IF(COUNTIFS('Agenda 2026'!$Q$2:$Q$376,DATE(2026,10,8),'Agenda 2026'!$M$2:$M$376,1)&gt;=2,CHAR(10)&amp;IFERROR(INDEX('Agenda 2026'!$B$2:$B$376,MATCH(DATE(2026,10,8)*10+2,'Agenda 2026'!$S$2:$S$376,0)),""),"")&amp;IF(COUNTIFS('Agenda 2026'!$Q$2:$Q$376,DATE(2026,10,8),'Agenda 2026'!$M$2:$M$376,1)&gt;=3,CHAR(10)&amp;IFERROR(INDEX('Agenda 2026'!$B$2:$B$376,MATCH(DATE(2026,10,8)*10+3,'Agenda 2026'!$S$2:$S$376,0)),""),"")&amp;IF(COUNTIFS('Agenda 2026'!$Q$2:$Q$376,DATE(2026,10,8),'Agenda 2026'!$M$2:$M$376,1)&gt;=4,CHAR(10)&amp;IFERROR(INDEX('Agenda 2026'!$B$2:$B$376,MATCH(DATE(2026,10,8)*10+4,'Agenda 2026'!$S$2:$S$376,0)),""),"")&amp;IF(COUNTIFS('Agenda 2026'!$Q$2:$Q$376,DATE(2026,10,8),'Agenda 2026'!$M$2:$M$376,1)&gt;=5,CHAR(10)&amp;IFERROR(INDEX('Agenda 2026'!$B$2:$B$376,MATCH(DATE(2026,10,8)*10+5,'Agenda 2026'!$S$2:$S$376,0)),""),"")&amp;IF(COUNTIFS('Agenda 2026'!$Q$2:$Q$376,DATE(2026,10,8),'Agenda 2026'!$M$2:$M$376,1)&gt;=6,CHAR(10)&amp;IFERROR(INDEX('Agenda 2026'!$B$2:$B$376,MATCH(DATE(2026,10,8)*10+6,'Agenda 2026'!$S$2:$S$376,0)),""),"")&amp;IF(COUNTIFS('Agenda 2026'!$Q$2:$Q$376,DATE(2026,10,8),'Agenda 2026'!$M$2:$M$376,1)&gt;=7,CHAR(10)&amp;IFERROR(INDEX('Agenda 2026'!$B$2:$B$376,MATCH(DATE(2026,10,8)*10+7,'Agenda 2026'!$S$2:$S$376,0)),""),"")&amp;IF(COUNTIFS('Agenda 2026'!$Q$2:$Q$376,DATE(2026,10,8),'Agenda 2026'!$M$2:$M$376,1)&gt;=8,CHAR(10)&amp;IFERROR(INDEX('Agenda 2026'!$B$2:$B$376,MATCH(DATE(2026,10,8)*10+8,'Agenda 2026'!$S$2:$S$376,0)),""),"")&amp;IF(COUNTIFS('Agenda 2026'!$Q$2:$Q$376,DATE(2026,10,8),'Agenda 2026'!$M$2:$M$376,1)&gt;=9,CHAR(10)&amp;IFERROR(INDEX('Agenda 2026'!$B$2:$B$376,MATCH(DATE(2026,10,8)*10+9,'Agenda 2026'!$S$2:$S$376,0)),""),"")&amp;IF(COUNTIFS('Agenda 2026'!$Q$2:$Q$376,DATE(2026,10,8),'Agenda 2026'!$M$2:$M$376,1)&gt;=10,CHAR(10)&amp;IFERROR(INDEX('Agenda 2026'!$B$2:$B$376,MATCH(DATE(2026,10,8)*10+10,'Agenda 2026'!$S$2:$S$376,0)),""),"")&amp;IF(COUNTIFS('Agenda 2026'!$Q$2:$Q$376,DATE(2026,10,8),'Agenda 2026'!$M$2:$M$376,1)&gt;=11,CHAR(10)&amp;IFERROR(INDEX('Agenda 2026'!$B$2:$B$376,MATCH(DATE(2026,10,8)*10+11,'Agenda 2026'!$S$2:$S$376,0)),""),"")&amp;IF(COUNTIFS('Agenda 2026'!$Q$2:$Q$376,DATE(2026,10,8),'Agenda 2026'!$M$2:$M$376,1)&gt;=12,CHAR(10)&amp;IFERROR(INDEX('Agenda 2026'!$B$2:$B$376,MATCH(DATE(2026,10,8)*10+12,'Agenda 2026'!$S$2:$S$376,0)),""),"")</f>
        <v>8</v>
      </c>
      <c r="F92" s="58" t="str">
        <f t="array" ref="F92">9&amp;IF(COUNTIFS('Agenda 2026'!$Q$2:$Q$376,DATE(2026,10,9),'Agenda 2026'!$M$2:$M$376,1)&gt;=1,CHAR(10)&amp;IFERROR(INDEX('Agenda 2026'!$B$2:$B$376,MATCH(DATE(2026,10,9)*10+1,'Agenda 2026'!$S$2:$S$376,0)),""),"")&amp;IF(COUNTIFS('Agenda 2026'!$Q$2:$Q$376,DATE(2026,10,9),'Agenda 2026'!$M$2:$M$376,1)&gt;=2,CHAR(10)&amp;IFERROR(INDEX('Agenda 2026'!$B$2:$B$376,MATCH(DATE(2026,10,9)*10+2,'Agenda 2026'!$S$2:$S$376,0)),""),"")&amp;IF(COUNTIFS('Agenda 2026'!$Q$2:$Q$376,DATE(2026,10,9),'Agenda 2026'!$M$2:$M$376,1)&gt;=3,CHAR(10)&amp;IFERROR(INDEX('Agenda 2026'!$B$2:$B$376,MATCH(DATE(2026,10,9)*10+3,'Agenda 2026'!$S$2:$S$376,0)),""),"")&amp;IF(COUNTIFS('Agenda 2026'!$Q$2:$Q$376,DATE(2026,10,9),'Agenda 2026'!$M$2:$M$376,1)&gt;=4,CHAR(10)&amp;IFERROR(INDEX('Agenda 2026'!$B$2:$B$376,MATCH(DATE(2026,10,9)*10+4,'Agenda 2026'!$S$2:$S$376,0)),""),"")&amp;IF(COUNTIFS('Agenda 2026'!$Q$2:$Q$376,DATE(2026,10,9),'Agenda 2026'!$M$2:$M$376,1)&gt;=5,CHAR(10)&amp;IFERROR(INDEX('Agenda 2026'!$B$2:$B$376,MATCH(DATE(2026,10,9)*10+5,'Agenda 2026'!$S$2:$S$376,0)),""),"")&amp;IF(COUNTIFS('Agenda 2026'!$Q$2:$Q$376,DATE(2026,10,9),'Agenda 2026'!$M$2:$M$376,1)&gt;=6,CHAR(10)&amp;IFERROR(INDEX('Agenda 2026'!$B$2:$B$376,MATCH(DATE(2026,10,9)*10+6,'Agenda 2026'!$S$2:$S$376,0)),""),"")&amp;IF(COUNTIFS('Agenda 2026'!$Q$2:$Q$376,DATE(2026,10,9),'Agenda 2026'!$M$2:$M$376,1)&gt;=7,CHAR(10)&amp;IFERROR(INDEX('Agenda 2026'!$B$2:$B$376,MATCH(DATE(2026,10,9)*10+7,'Agenda 2026'!$S$2:$S$376,0)),""),"")&amp;IF(COUNTIFS('Agenda 2026'!$Q$2:$Q$376,DATE(2026,10,9),'Agenda 2026'!$M$2:$M$376,1)&gt;=8,CHAR(10)&amp;IFERROR(INDEX('Agenda 2026'!$B$2:$B$376,MATCH(DATE(2026,10,9)*10+8,'Agenda 2026'!$S$2:$S$376,0)),""),"")&amp;IF(COUNTIFS('Agenda 2026'!$Q$2:$Q$376,DATE(2026,10,9),'Agenda 2026'!$M$2:$M$376,1)&gt;=9,CHAR(10)&amp;IFERROR(INDEX('Agenda 2026'!$B$2:$B$376,MATCH(DATE(2026,10,9)*10+9,'Agenda 2026'!$S$2:$S$376,0)),""),"")&amp;IF(COUNTIFS('Agenda 2026'!$Q$2:$Q$376,DATE(2026,10,9),'Agenda 2026'!$M$2:$M$376,1)&gt;=10,CHAR(10)&amp;IFERROR(INDEX('Agenda 2026'!$B$2:$B$376,MATCH(DATE(2026,10,9)*10+10,'Agenda 2026'!$S$2:$S$376,0)),""),"")&amp;IF(COUNTIFS('Agenda 2026'!$Q$2:$Q$376,DATE(2026,10,9),'Agenda 2026'!$M$2:$M$376,1)&gt;=11,CHAR(10)&amp;IFERROR(INDEX('Agenda 2026'!$B$2:$B$376,MATCH(DATE(2026,10,9)*10+11,'Agenda 2026'!$S$2:$S$376,0)),""),"")&amp;IF(COUNTIFS('Agenda 2026'!$Q$2:$Q$376,DATE(2026,10,9),'Agenda 2026'!$M$2:$M$376,1)&gt;=12,CHAR(10)&amp;IFERROR(INDEX('Agenda 2026'!$B$2:$B$376,MATCH(DATE(2026,10,9)*10+12,'Agenda 2026'!$S$2:$S$376,0)),""),"")</f>
        <v>9</v>
      </c>
      <c r="G92" s="58" t="str">
        <f t="array" ref="G92">10&amp;IF(COUNTIFS('Agenda 2026'!$Q$2:$Q$376,DATE(2026,10,10),'Agenda 2026'!$M$2:$M$376,1)&gt;=1,CHAR(10)&amp;IFERROR(INDEX('Agenda 2026'!$B$2:$B$376,MATCH(DATE(2026,10,10)*10+1,'Agenda 2026'!$S$2:$S$376,0)),""),"")&amp;IF(COUNTIFS('Agenda 2026'!$Q$2:$Q$376,DATE(2026,10,10),'Agenda 2026'!$M$2:$M$376,1)&gt;=2,CHAR(10)&amp;IFERROR(INDEX('Agenda 2026'!$B$2:$B$376,MATCH(DATE(2026,10,10)*10+2,'Agenda 2026'!$S$2:$S$376,0)),""),"")&amp;IF(COUNTIFS('Agenda 2026'!$Q$2:$Q$376,DATE(2026,10,10),'Agenda 2026'!$M$2:$M$376,1)&gt;=3,CHAR(10)&amp;IFERROR(INDEX('Agenda 2026'!$B$2:$B$376,MATCH(DATE(2026,10,10)*10+3,'Agenda 2026'!$S$2:$S$376,0)),""),"")&amp;IF(COUNTIFS('Agenda 2026'!$Q$2:$Q$376,DATE(2026,10,10),'Agenda 2026'!$M$2:$M$376,1)&gt;=4,CHAR(10)&amp;IFERROR(INDEX('Agenda 2026'!$B$2:$B$376,MATCH(DATE(2026,10,10)*10+4,'Agenda 2026'!$S$2:$S$376,0)),""),"")&amp;IF(COUNTIFS('Agenda 2026'!$Q$2:$Q$376,DATE(2026,10,10),'Agenda 2026'!$M$2:$M$376,1)&gt;=5,CHAR(10)&amp;IFERROR(INDEX('Agenda 2026'!$B$2:$B$376,MATCH(DATE(2026,10,10)*10+5,'Agenda 2026'!$S$2:$S$376,0)),""),"")&amp;IF(COUNTIFS('Agenda 2026'!$Q$2:$Q$376,DATE(2026,10,10),'Agenda 2026'!$M$2:$M$376,1)&gt;=6,CHAR(10)&amp;IFERROR(INDEX('Agenda 2026'!$B$2:$B$376,MATCH(DATE(2026,10,10)*10+6,'Agenda 2026'!$S$2:$S$376,0)),""),"")&amp;IF(COUNTIFS('Agenda 2026'!$Q$2:$Q$376,DATE(2026,10,10),'Agenda 2026'!$M$2:$M$376,1)&gt;=7,CHAR(10)&amp;IFERROR(INDEX('Agenda 2026'!$B$2:$B$376,MATCH(DATE(2026,10,10)*10+7,'Agenda 2026'!$S$2:$S$376,0)),""),"")&amp;IF(COUNTIFS('Agenda 2026'!$Q$2:$Q$376,DATE(2026,10,10),'Agenda 2026'!$M$2:$M$376,1)&gt;=8,CHAR(10)&amp;IFERROR(INDEX('Agenda 2026'!$B$2:$B$376,MATCH(DATE(2026,10,10)*10+8,'Agenda 2026'!$S$2:$S$376,0)),""),"")&amp;IF(COUNTIFS('Agenda 2026'!$Q$2:$Q$376,DATE(2026,10,10),'Agenda 2026'!$M$2:$M$376,1)&gt;=9,CHAR(10)&amp;IFERROR(INDEX('Agenda 2026'!$B$2:$B$376,MATCH(DATE(2026,10,10)*10+9,'Agenda 2026'!$S$2:$S$376,0)),""),"")&amp;IF(COUNTIFS('Agenda 2026'!$Q$2:$Q$376,DATE(2026,10,10),'Agenda 2026'!$M$2:$M$376,1)&gt;=10,CHAR(10)&amp;IFERROR(INDEX('Agenda 2026'!$B$2:$B$376,MATCH(DATE(2026,10,10)*10+10,'Agenda 2026'!$S$2:$S$376,0)),""),"")&amp;IF(COUNTIFS('Agenda 2026'!$Q$2:$Q$376,DATE(2026,10,10),'Agenda 2026'!$M$2:$M$376,1)&gt;=11,CHAR(10)&amp;IFERROR(INDEX('Agenda 2026'!$B$2:$B$376,MATCH(DATE(2026,10,10)*10+11,'Agenda 2026'!$S$2:$S$376,0)),""),"")&amp;IF(COUNTIFS('Agenda 2026'!$Q$2:$Q$376,DATE(2026,10,10),'Agenda 2026'!$M$2:$M$376,1)&gt;=12,CHAR(10)&amp;IFERROR(INDEX('Agenda 2026'!$B$2:$B$376,MATCH(DATE(2026,10,10)*10+12,'Agenda 2026'!$S$2:$S$376,0)),""),"")</f>
        <v>10</v>
      </c>
      <c r="H92" s="58" t="str">
        <f t="array" ref="H92">11&amp;IF(COUNTIFS('Agenda 2026'!$Q$2:$Q$376,DATE(2026,10,11),'Agenda 2026'!$M$2:$M$376,1)&gt;=1,CHAR(10)&amp;IFERROR(INDEX('Agenda 2026'!$B$2:$B$376,MATCH(DATE(2026,10,11)*10+1,'Agenda 2026'!$S$2:$S$376,0)),""),"")&amp;IF(COUNTIFS('Agenda 2026'!$Q$2:$Q$376,DATE(2026,10,11),'Agenda 2026'!$M$2:$M$376,1)&gt;=2,CHAR(10)&amp;IFERROR(INDEX('Agenda 2026'!$B$2:$B$376,MATCH(DATE(2026,10,11)*10+2,'Agenda 2026'!$S$2:$S$376,0)),""),"")&amp;IF(COUNTIFS('Agenda 2026'!$Q$2:$Q$376,DATE(2026,10,11),'Agenda 2026'!$M$2:$M$376,1)&gt;=3,CHAR(10)&amp;IFERROR(INDEX('Agenda 2026'!$B$2:$B$376,MATCH(DATE(2026,10,11)*10+3,'Agenda 2026'!$S$2:$S$376,0)),""),"")&amp;IF(COUNTIFS('Agenda 2026'!$Q$2:$Q$376,DATE(2026,10,11),'Agenda 2026'!$M$2:$M$376,1)&gt;=4,CHAR(10)&amp;IFERROR(INDEX('Agenda 2026'!$B$2:$B$376,MATCH(DATE(2026,10,11)*10+4,'Agenda 2026'!$S$2:$S$376,0)),""),"")&amp;IF(COUNTIFS('Agenda 2026'!$Q$2:$Q$376,DATE(2026,10,11),'Agenda 2026'!$M$2:$M$376,1)&gt;=5,CHAR(10)&amp;IFERROR(INDEX('Agenda 2026'!$B$2:$B$376,MATCH(DATE(2026,10,11)*10+5,'Agenda 2026'!$S$2:$S$376,0)),""),"")&amp;IF(COUNTIFS('Agenda 2026'!$Q$2:$Q$376,DATE(2026,10,11),'Agenda 2026'!$M$2:$M$376,1)&gt;=6,CHAR(10)&amp;IFERROR(INDEX('Agenda 2026'!$B$2:$B$376,MATCH(DATE(2026,10,11)*10+6,'Agenda 2026'!$S$2:$S$376,0)),""),"")&amp;IF(COUNTIFS('Agenda 2026'!$Q$2:$Q$376,DATE(2026,10,11),'Agenda 2026'!$M$2:$M$376,1)&gt;=7,CHAR(10)&amp;IFERROR(INDEX('Agenda 2026'!$B$2:$B$376,MATCH(DATE(2026,10,11)*10+7,'Agenda 2026'!$S$2:$S$376,0)),""),"")&amp;IF(COUNTIFS('Agenda 2026'!$Q$2:$Q$376,DATE(2026,10,11),'Agenda 2026'!$M$2:$M$376,1)&gt;=8,CHAR(10)&amp;IFERROR(INDEX('Agenda 2026'!$B$2:$B$376,MATCH(DATE(2026,10,11)*10+8,'Agenda 2026'!$S$2:$S$376,0)),""),"")&amp;IF(COUNTIFS('Agenda 2026'!$Q$2:$Q$376,DATE(2026,10,11),'Agenda 2026'!$M$2:$M$376,1)&gt;=9,CHAR(10)&amp;IFERROR(INDEX('Agenda 2026'!$B$2:$B$376,MATCH(DATE(2026,10,11)*10+9,'Agenda 2026'!$S$2:$S$376,0)),""),"")&amp;IF(COUNTIFS('Agenda 2026'!$Q$2:$Q$376,DATE(2026,10,11),'Agenda 2026'!$M$2:$M$376,1)&gt;=10,CHAR(10)&amp;IFERROR(INDEX('Agenda 2026'!$B$2:$B$376,MATCH(DATE(2026,10,11)*10+10,'Agenda 2026'!$S$2:$S$376,0)),""),"")&amp;IF(COUNTIFS('Agenda 2026'!$Q$2:$Q$376,DATE(2026,10,11),'Agenda 2026'!$M$2:$M$376,1)&gt;=11,CHAR(10)&amp;IFERROR(INDEX('Agenda 2026'!$B$2:$B$376,MATCH(DATE(2026,10,11)*10+11,'Agenda 2026'!$S$2:$S$376,0)),""),"")&amp;IF(COUNTIFS('Agenda 2026'!$Q$2:$Q$376,DATE(2026,10,11),'Agenda 2026'!$M$2:$M$376,1)&gt;=12,CHAR(10)&amp;IFERROR(INDEX('Agenda 2026'!$B$2:$B$376,MATCH(DATE(2026,10,11)*10+12,'Agenda 2026'!$S$2:$S$376,0)),""),"")</f>
        <v>11</v>
      </c>
    </row>
    <row r="93" spans="1:8" ht="57.75" customHeight="1" x14ac:dyDescent="0.35">
      <c r="A93" s="17"/>
      <c r="B93" s="58" t="str">
        <f t="array" ref="B93">12&amp;IF(COUNTIFS('Agenda 2026'!$Q$2:$Q$376,DATE(2026,10,12),'Agenda 2026'!$M$2:$M$376,1)&gt;=1,CHAR(10)&amp;IFERROR(INDEX('Agenda 2026'!$B$2:$B$376,MATCH(DATE(2026,10,12)*10+1,'Agenda 2026'!$S$2:$S$376,0)),""),"")&amp;IF(COUNTIFS('Agenda 2026'!$Q$2:$Q$376,DATE(2026,10,12),'Agenda 2026'!$M$2:$M$376,1)&gt;=2,CHAR(10)&amp;IFERROR(INDEX('Agenda 2026'!$B$2:$B$376,MATCH(DATE(2026,10,12)*10+2,'Agenda 2026'!$S$2:$S$376,0)),""),"")&amp;IF(COUNTIFS('Agenda 2026'!$Q$2:$Q$376,DATE(2026,10,12),'Agenda 2026'!$M$2:$M$376,1)&gt;=3,CHAR(10)&amp;IFERROR(INDEX('Agenda 2026'!$B$2:$B$376,MATCH(DATE(2026,10,12)*10+3,'Agenda 2026'!$S$2:$S$376,0)),""),"")&amp;IF(COUNTIFS('Agenda 2026'!$Q$2:$Q$376,DATE(2026,10,12),'Agenda 2026'!$M$2:$M$376,1)&gt;=4,CHAR(10)&amp;IFERROR(INDEX('Agenda 2026'!$B$2:$B$376,MATCH(DATE(2026,10,12)*10+4,'Agenda 2026'!$S$2:$S$376,0)),""),"")&amp;IF(COUNTIFS('Agenda 2026'!$Q$2:$Q$376,DATE(2026,10,12),'Agenda 2026'!$M$2:$M$376,1)&gt;=5,CHAR(10)&amp;IFERROR(INDEX('Agenda 2026'!$B$2:$B$376,MATCH(DATE(2026,10,12)*10+5,'Agenda 2026'!$S$2:$S$376,0)),""),"")&amp;IF(COUNTIFS('Agenda 2026'!$Q$2:$Q$376,DATE(2026,10,12),'Agenda 2026'!$M$2:$M$376,1)&gt;=6,CHAR(10)&amp;IFERROR(INDEX('Agenda 2026'!$B$2:$B$376,MATCH(DATE(2026,10,12)*10+6,'Agenda 2026'!$S$2:$S$376,0)),""),"")&amp;IF(COUNTIFS('Agenda 2026'!$Q$2:$Q$376,DATE(2026,10,12),'Agenda 2026'!$M$2:$M$376,1)&gt;=7,CHAR(10)&amp;IFERROR(INDEX('Agenda 2026'!$B$2:$B$376,MATCH(DATE(2026,10,12)*10+7,'Agenda 2026'!$S$2:$S$376,0)),""),"")&amp;IF(COUNTIFS('Agenda 2026'!$Q$2:$Q$376,DATE(2026,10,12),'Agenda 2026'!$M$2:$M$376,1)&gt;=8,CHAR(10)&amp;IFERROR(INDEX('Agenda 2026'!$B$2:$B$376,MATCH(DATE(2026,10,12)*10+8,'Agenda 2026'!$S$2:$S$376,0)),""),"")&amp;IF(COUNTIFS('Agenda 2026'!$Q$2:$Q$376,DATE(2026,10,12),'Agenda 2026'!$M$2:$M$376,1)&gt;=9,CHAR(10)&amp;IFERROR(INDEX('Agenda 2026'!$B$2:$B$376,MATCH(DATE(2026,10,12)*10+9,'Agenda 2026'!$S$2:$S$376,0)),""),"")&amp;IF(COUNTIFS('Agenda 2026'!$Q$2:$Q$376,DATE(2026,10,12),'Agenda 2026'!$M$2:$M$376,1)&gt;=10,CHAR(10)&amp;IFERROR(INDEX('Agenda 2026'!$B$2:$B$376,MATCH(DATE(2026,10,12)*10+10,'Agenda 2026'!$S$2:$S$376,0)),""),"")&amp;IF(COUNTIFS('Agenda 2026'!$Q$2:$Q$376,DATE(2026,10,12),'Agenda 2026'!$M$2:$M$376,1)&gt;=11,CHAR(10)&amp;IFERROR(INDEX('Agenda 2026'!$B$2:$B$376,MATCH(DATE(2026,10,12)*10+11,'Agenda 2026'!$S$2:$S$376,0)),""),"")&amp;IF(COUNTIFS('Agenda 2026'!$Q$2:$Q$376,DATE(2026,10,12),'Agenda 2026'!$M$2:$M$376,1)&gt;=12,CHAR(10)&amp;IFERROR(INDEX('Agenda 2026'!$B$2:$B$376,MATCH(DATE(2026,10,12)*10+12,'Agenda 2026'!$S$2:$S$376,0)),""),"")</f>
        <v>12</v>
      </c>
      <c r="C93" s="58" t="str">
        <f t="array" ref="C93">13&amp;IF(COUNTIFS('Agenda 2026'!$Q$2:$Q$376,DATE(2026,10,13),'Agenda 2026'!$M$2:$M$376,1)&gt;=1,CHAR(10)&amp;IFERROR(INDEX('Agenda 2026'!$B$2:$B$376,MATCH(DATE(2026,10,13)*10+1,'Agenda 2026'!$S$2:$S$376,0)),""),"")&amp;IF(COUNTIFS('Agenda 2026'!$Q$2:$Q$376,DATE(2026,10,13),'Agenda 2026'!$M$2:$M$376,1)&gt;=2,CHAR(10)&amp;IFERROR(INDEX('Agenda 2026'!$B$2:$B$376,MATCH(DATE(2026,10,13)*10+2,'Agenda 2026'!$S$2:$S$376,0)),""),"")&amp;IF(COUNTIFS('Agenda 2026'!$Q$2:$Q$376,DATE(2026,10,13),'Agenda 2026'!$M$2:$M$376,1)&gt;=3,CHAR(10)&amp;IFERROR(INDEX('Agenda 2026'!$B$2:$B$376,MATCH(DATE(2026,10,13)*10+3,'Agenda 2026'!$S$2:$S$376,0)),""),"")&amp;IF(COUNTIFS('Agenda 2026'!$Q$2:$Q$376,DATE(2026,10,13),'Agenda 2026'!$M$2:$M$376,1)&gt;=4,CHAR(10)&amp;IFERROR(INDEX('Agenda 2026'!$B$2:$B$376,MATCH(DATE(2026,10,13)*10+4,'Agenda 2026'!$S$2:$S$376,0)),""),"")&amp;IF(COUNTIFS('Agenda 2026'!$Q$2:$Q$376,DATE(2026,10,13),'Agenda 2026'!$M$2:$M$376,1)&gt;=5,CHAR(10)&amp;IFERROR(INDEX('Agenda 2026'!$B$2:$B$376,MATCH(DATE(2026,10,13)*10+5,'Agenda 2026'!$S$2:$S$376,0)),""),"")&amp;IF(COUNTIFS('Agenda 2026'!$Q$2:$Q$376,DATE(2026,10,13),'Agenda 2026'!$M$2:$M$376,1)&gt;=6,CHAR(10)&amp;IFERROR(INDEX('Agenda 2026'!$B$2:$B$376,MATCH(DATE(2026,10,13)*10+6,'Agenda 2026'!$S$2:$S$376,0)),""),"")&amp;IF(COUNTIFS('Agenda 2026'!$Q$2:$Q$376,DATE(2026,10,13),'Agenda 2026'!$M$2:$M$376,1)&gt;=7,CHAR(10)&amp;IFERROR(INDEX('Agenda 2026'!$B$2:$B$376,MATCH(DATE(2026,10,13)*10+7,'Agenda 2026'!$S$2:$S$376,0)),""),"")&amp;IF(COUNTIFS('Agenda 2026'!$Q$2:$Q$376,DATE(2026,10,13),'Agenda 2026'!$M$2:$M$376,1)&gt;=8,CHAR(10)&amp;IFERROR(INDEX('Agenda 2026'!$B$2:$B$376,MATCH(DATE(2026,10,13)*10+8,'Agenda 2026'!$S$2:$S$376,0)),""),"")&amp;IF(COUNTIFS('Agenda 2026'!$Q$2:$Q$376,DATE(2026,10,13),'Agenda 2026'!$M$2:$M$376,1)&gt;=9,CHAR(10)&amp;IFERROR(INDEX('Agenda 2026'!$B$2:$B$376,MATCH(DATE(2026,10,13)*10+9,'Agenda 2026'!$S$2:$S$376,0)),""),"")&amp;IF(COUNTIFS('Agenda 2026'!$Q$2:$Q$376,DATE(2026,10,13),'Agenda 2026'!$M$2:$M$376,1)&gt;=10,CHAR(10)&amp;IFERROR(INDEX('Agenda 2026'!$B$2:$B$376,MATCH(DATE(2026,10,13)*10+10,'Agenda 2026'!$S$2:$S$376,0)),""),"")&amp;IF(COUNTIFS('Agenda 2026'!$Q$2:$Q$376,DATE(2026,10,13),'Agenda 2026'!$M$2:$M$376,1)&gt;=11,CHAR(10)&amp;IFERROR(INDEX('Agenda 2026'!$B$2:$B$376,MATCH(DATE(2026,10,13)*10+11,'Agenda 2026'!$S$2:$S$376,0)),""),"")&amp;IF(COUNTIFS('Agenda 2026'!$Q$2:$Q$376,DATE(2026,10,13),'Agenda 2026'!$M$2:$M$376,1)&gt;=12,CHAR(10)&amp;IFERROR(INDEX('Agenda 2026'!$B$2:$B$376,MATCH(DATE(2026,10,13)*10+12,'Agenda 2026'!$S$2:$S$376,0)),""),"")</f>
        <v>13</v>
      </c>
      <c r="D93" s="58" t="str">
        <f t="array" ref="D93">14&amp;IF(COUNTIFS('Agenda 2026'!$Q$2:$Q$376,DATE(2026,10,14),'Agenda 2026'!$M$2:$M$376,1)&gt;=1,CHAR(10)&amp;IFERROR(INDEX('Agenda 2026'!$B$2:$B$376,MATCH(DATE(2026,10,14)*10+1,'Agenda 2026'!$S$2:$S$376,0)),""),"")&amp;IF(COUNTIFS('Agenda 2026'!$Q$2:$Q$376,DATE(2026,10,14),'Agenda 2026'!$M$2:$M$376,1)&gt;=2,CHAR(10)&amp;IFERROR(INDEX('Agenda 2026'!$B$2:$B$376,MATCH(DATE(2026,10,14)*10+2,'Agenda 2026'!$S$2:$S$376,0)),""),"")&amp;IF(COUNTIFS('Agenda 2026'!$Q$2:$Q$376,DATE(2026,10,14),'Agenda 2026'!$M$2:$M$376,1)&gt;=3,CHAR(10)&amp;IFERROR(INDEX('Agenda 2026'!$B$2:$B$376,MATCH(DATE(2026,10,14)*10+3,'Agenda 2026'!$S$2:$S$376,0)),""),"")&amp;IF(COUNTIFS('Agenda 2026'!$Q$2:$Q$376,DATE(2026,10,14),'Agenda 2026'!$M$2:$M$376,1)&gt;=4,CHAR(10)&amp;IFERROR(INDEX('Agenda 2026'!$B$2:$B$376,MATCH(DATE(2026,10,14)*10+4,'Agenda 2026'!$S$2:$S$376,0)),""),"")&amp;IF(COUNTIFS('Agenda 2026'!$Q$2:$Q$376,DATE(2026,10,14),'Agenda 2026'!$M$2:$M$376,1)&gt;=5,CHAR(10)&amp;IFERROR(INDEX('Agenda 2026'!$B$2:$B$376,MATCH(DATE(2026,10,14)*10+5,'Agenda 2026'!$S$2:$S$376,0)),""),"")&amp;IF(COUNTIFS('Agenda 2026'!$Q$2:$Q$376,DATE(2026,10,14),'Agenda 2026'!$M$2:$M$376,1)&gt;=6,CHAR(10)&amp;IFERROR(INDEX('Agenda 2026'!$B$2:$B$376,MATCH(DATE(2026,10,14)*10+6,'Agenda 2026'!$S$2:$S$376,0)),""),"")&amp;IF(COUNTIFS('Agenda 2026'!$Q$2:$Q$376,DATE(2026,10,14),'Agenda 2026'!$M$2:$M$376,1)&gt;=7,CHAR(10)&amp;IFERROR(INDEX('Agenda 2026'!$B$2:$B$376,MATCH(DATE(2026,10,14)*10+7,'Agenda 2026'!$S$2:$S$376,0)),""),"")&amp;IF(COUNTIFS('Agenda 2026'!$Q$2:$Q$376,DATE(2026,10,14),'Agenda 2026'!$M$2:$M$376,1)&gt;=8,CHAR(10)&amp;IFERROR(INDEX('Agenda 2026'!$B$2:$B$376,MATCH(DATE(2026,10,14)*10+8,'Agenda 2026'!$S$2:$S$376,0)),""),"")&amp;IF(COUNTIFS('Agenda 2026'!$Q$2:$Q$376,DATE(2026,10,14),'Agenda 2026'!$M$2:$M$376,1)&gt;=9,CHAR(10)&amp;IFERROR(INDEX('Agenda 2026'!$B$2:$B$376,MATCH(DATE(2026,10,14)*10+9,'Agenda 2026'!$S$2:$S$376,0)),""),"")&amp;IF(COUNTIFS('Agenda 2026'!$Q$2:$Q$376,DATE(2026,10,14),'Agenda 2026'!$M$2:$M$376,1)&gt;=10,CHAR(10)&amp;IFERROR(INDEX('Agenda 2026'!$B$2:$B$376,MATCH(DATE(2026,10,14)*10+10,'Agenda 2026'!$S$2:$S$376,0)),""),"")&amp;IF(COUNTIFS('Agenda 2026'!$Q$2:$Q$376,DATE(2026,10,14),'Agenda 2026'!$M$2:$M$376,1)&gt;=11,CHAR(10)&amp;IFERROR(INDEX('Agenda 2026'!$B$2:$B$376,MATCH(DATE(2026,10,14)*10+11,'Agenda 2026'!$S$2:$S$376,0)),""),"")&amp;IF(COUNTIFS('Agenda 2026'!$Q$2:$Q$376,DATE(2026,10,14),'Agenda 2026'!$M$2:$M$376,1)&gt;=12,CHAR(10)&amp;IFERROR(INDEX('Agenda 2026'!$B$2:$B$376,MATCH(DATE(2026,10,14)*10+12,'Agenda 2026'!$S$2:$S$376,0)),""),"")</f>
        <v>14</v>
      </c>
      <c r="E93" s="58" t="str">
        <f t="array" ref="E93">15&amp;IF(COUNTIFS('Agenda 2026'!$Q$2:$Q$376,DATE(2026,10,15),'Agenda 2026'!$M$2:$M$376,1)&gt;=1,CHAR(10)&amp;IFERROR(INDEX('Agenda 2026'!$B$2:$B$376,MATCH(DATE(2026,10,15)*10+1,'Agenda 2026'!$S$2:$S$376,0)),""),"")&amp;IF(COUNTIFS('Agenda 2026'!$Q$2:$Q$376,DATE(2026,10,15),'Agenda 2026'!$M$2:$M$376,1)&gt;=2,CHAR(10)&amp;IFERROR(INDEX('Agenda 2026'!$B$2:$B$376,MATCH(DATE(2026,10,15)*10+2,'Agenda 2026'!$S$2:$S$376,0)),""),"")&amp;IF(COUNTIFS('Agenda 2026'!$Q$2:$Q$376,DATE(2026,10,15),'Agenda 2026'!$M$2:$M$376,1)&gt;=3,CHAR(10)&amp;IFERROR(INDEX('Agenda 2026'!$B$2:$B$376,MATCH(DATE(2026,10,15)*10+3,'Agenda 2026'!$S$2:$S$376,0)),""),"")&amp;IF(COUNTIFS('Agenda 2026'!$Q$2:$Q$376,DATE(2026,10,15),'Agenda 2026'!$M$2:$M$376,1)&gt;=4,CHAR(10)&amp;IFERROR(INDEX('Agenda 2026'!$B$2:$B$376,MATCH(DATE(2026,10,15)*10+4,'Agenda 2026'!$S$2:$S$376,0)),""),"")&amp;IF(COUNTIFS('Agenda 2026'!$Q$2:$Q$376,DATE(2026,10,15),'Agenda 2026'!$M$2:$M$376,1)&gt;=5,CHAR(10)&amp;IFERROR(INDEX('Agenda 2026'!$B$2:$B$376,MATCH(DATE(2026,10,15)*10+5,'Agenda 2026'!$S$2:$S$376,0)),""),"")&amp;IF(COUNTIFS('Agenda 2026'!$Q$2:$Q$376,DATE(2026,10,15),'Agenda 2026'!$M$2:$M$376,1)&gt;=6,CHAR(10)&amp;IFERROR(INDEX('Agenda 2026'!$B$2:$B$376,MATCH(DATE(2026,10,15)*10+6,'Agenda 2026'!$S$2:$S$376,0)),""),"")&amp;IF(COUNTIFS('Agenda 2026'!$Q$2:$Q$376,DATE(2026,10,15),'Agenda 2026'!$M$2:$M$376,1)&gt;=7,CHAR(10)&amp;IFERROR(INDEX('Agenda 2026'!$B$2:$B$376,MATCH(DATE(2026,10,15)*10+7,'Agenda 2026'!$S$2:$S$376,0)),""),"")&amp;IF(COUNTIFS('Agenda 2026'!$Q$2:$Q$376,DATE(2026,10,15),'Agenda 2026'!$M$2:$M$376,1)&gt;=8,CHAR(10)&amp;IFERROR(INDEX('Agenda 2026'!$B$2:$B$376,MATCH(DATE(2026,10,15)*10+8,'Agenda 2026'!$S$2:$S$376,0)),""),"")&amp;IF(COUNTIFS('Agenda 2026'!$Q$2:$Q$376,DATE(2026,10,15),'Agenda 2026'!$M$2:$M$376,1)&gt;=9,CHAR(10)&amp;IFERROR(INDEX('Agenda 2026'!$B$2:$B$376,MATCH(DATE(2026,10,15)*10+9,'Agenda 2026'!$S$2:$S$376,0)),""),"")&amp;IF(COUNTIFS('Agenda 2026'!$Q$2:$Q$376,DATE(2026,10,15),'Agenda 2026'!$M$2:$M$376,1)&gt;=10,CHAR(10)&amp;IFERROR(INDEX('Agenda 2026'!$B$2:$B$376,MATCH(DATE(2026,10,15)*10+10,'Agenda 2026'!$S$2:$S$376,0)),""),"")&amp;IF(COUNTIFS('Agenda 2026'!$Q$2:$Q$376,DATE(2026,10,15),'Agenda 2026'!$M$2:$M$376,1)&gt;=11,CHAR(10)&amp;IFERROR(INDEX('Agenda 2026'!$B$2:$B$376,MATCH(DATE(2026,10,15)*10+11,'Agenda 2026'!$S$2:$S$376,0)),""),"")&amp;IF(COUNTIFS('Agenda 2026'!$Q$2:$Q$376,DATE(2026,10,15),'Agenda 2026'!$M$2:$M$376,1)&gt;=12,CHAR(10)&amp;IFERROR(INDEX('Agenda 2026'!$B$2:$B$376,MATCH(DATE(2026,10,15)*10+12,'Agenda 2026'!$S$2:$S$376,0)),""),"")</f>
        <v>15</v>
      </c>
      <c r="F93" s="58" t="str">
        <f t="array" ref="F93">16&amp;IF(COUNTIFS('Agenda 2026'!$Q$2:$Q$376,DATE(2026,10,16),'Agenda 2026'!$M$2:$M$376,1)&gt;=1,CHAR(10)&amp;IFERROR(INDEX('Agenda 2026'!$B$2:$B$376,MATCH(DATE(2026,10,16)*10+1,'Agenda 2026'!$S$2:$S$376,0)),""),"")&amp;IF(COUNTIFS('Agenda 2026'!$Q$2:$Q$376,DATE(2026,10,16),'Agenda 2026'!$M$2:$M$376,1)&gt;=2,CHAR(10)&amp;IFERROR(INDEX('Agenda 2026'!$B$2:$B$376,MATCH(DATE(2026,10,16)*10+2,'Agenda 2026'!$S$2:$S$376,0)),""),"")&amp;IF(COUNTIFS('Agenda 2026'!$Q$2:$Q$376,DATE(2026,10,16),'Agenda 2026'!$M$2:$M$376,1)&gt;=3,CHAR(10)&amp;IFERROR(INDEX('Agenda 2026'!$B$2:$B$376,MATCH(DATE(2026,10,16)*10+3,'Agenda 2026'!$S$2:$S$376,0)),""),"")&amp;IF(COUNTIFS('Agenda 2026'!$Q$2:$Q$376,DATE(2026,10,16),'Agenda 2026'!$M$2:$M$376,1)&gt;=4,CHAR(10)&amp;IFERROR(INDEX('Agenda 2026'!$B$2:$B$376,MATCH(DATE(2026,10,16)*10+4,'Agenda 2026'!$S$2:$S$376,0)),""),"")&amp;IF(COUNTIFS('Agenda 2026'!$Q$2:$Q$376,DATE(2026,10,16),'Agenda 2026'!$M$2:$M$376,1)&gt;=5,CHAR(10)&amp;IFERROR(INDEX('Agenda 2026'!$B$2:$B$376,MATCH(DATE(2026,10,16)*10+5,'Agenda 2026'!$S$2:$S$376,0)),""),"")&amp;IF(COUNTIFS('Agenda 2026'!$Q$2:$Q$376,DATE(2026,10,16),'Agenda 2026'!$M$2:$M$376,1)&gt;=6,CHAR(10)&amp;IFERROR(INDEX('Agenda 2026'!$B$2:$B$376,MATCH(DATE(2026,10,16)*10+6,'Agenda 2026'!$S$2:$S$376,0)),""),"")&amp;IF(COUNTIFS('Agenda 2026'!$Q$2:$Q$376,DATE(2026,10,16),'Agenda 2026'!$M$2:$M$376,1)&gt;=7,CHAR(10)&amp;IFERROR(INDEX('Agenda 2026'!$B$2:$B$376,MATCH(DATE(2026,10,16)*10+7,'Agenda 2026'!$S$2:$S$376,0)),""),"")&amp;IF(COUNTIFS('Agenda 2026'!$Q$2:$Q$376,DATE(2026,10,16),'Agenda 2026'!$M$2:$M$376,1)&gt;=8,CHAR(10)&amp;IFERROR(INDEX('Agenda 2026'!$B$2:$B$376,MATCH(DATE(2026,10,16)*10+8,'Agenda 2026'!$S$2:$S$376,0)),""),"")&amp;IF(COUNTIFS('Agenda 2026'!$Q$2:$Q$376,DATE(2026,10,16),'Agenda 2026'!$M$2:$M$376,1)&gt;=9,CHAR(10)&amp;IFERROR(INDEX('Agenda 2026'!$B$2:$B$376,MATCH(DATE(2026,10,16)*10+9,'Agenda 2026'!$S$2:$S$376,0)),""),"")&amp;IF(COUNTIFS('Agenda 2026'!$Q$2:$Q$376,DATE(2026,10,16),'Agenda 2026'!$M$2:$M$376,1)&gt;=10,CHAR(10)&amp;IFERROR(INDEX('Agenda 2026'!$B$2:$B$376,MATCH(DATE(2026,10,16)*10+10,'Agenda 2026'!$S$2:$S$376,0)),""),"")&amp;IF(COUNTIFS('Agenda 2026'!$Q$2:$Q$376,DATE(2026,10,16),'Agenda 2026'!$M$2:$M$376,1)&gt;=11,CHAR(10)&amp;IFERROR(INDEX('Agenda 2026'!$B$2:$B$376,MATCH(DATE(2026,10,16)*10+11,'Agenda 2026'!$S$2:$S$376,0)),""),"")&amp;IF(COUNTIFS('Agenda 2026'!$Q$2:$Q$376,DATE(2026,10,16),'Agenda 2026'!$M$2:$M$376,1)&gt;=12,CHAR(10)&amp;IFERROR(INDEX('Agenda 2026'!$B$2:$B$376,MATCH(DATE(2026,10,16)*10+12,'Agenda 2026'!$S$2:$S$376,0)),""),"")</f>
        <v>16</v>
      </c>
      <c r="G93" s="58" t="str">
        <f t="array" ref="G93">17&amp;IF(COUNTIFS('Agenda 2026'!$Q$2:$Q$376,DATE(2026,10,17),'Agenda 2026'!$M$2:$M$376,1)&gt;=1,CHAR(10)&amp;IFERROR(INDEX('Agenda 2026'!$B$2:$B$376,MATCH(DATE(2026,10,17)*10+1,'Agenda 2026'!$S$2:$S$376,0)),""),"")&amp;IF(COUNTIFS('Agenda 2026'!$Q$2:$Q$376,DATE(2026,10,17),'Agenda 2026'!$M$2:$M$376,1)&gt;=2,CHAR(10)&amp;IFERROR(INDEX('Agenda 2026'!$B$2:$B$376,MATCH(DATE(2026,10,17)*10+2,'Agenda 2026'!$S$2:$S$376,0)),""),"")&amp;IF(COUNTIFS('Agenda 2026'!$Q$2:$Q$376,DATE(2026,10,17),'Agenda 2026'!$M$2:$M$376,1)&gt;=3,CHAR(10)&amp;IFERROR(INDEX('Agenda 2026'!$B$2:$B$376,MATCH(DATE(2026,10,17)*10+3,'Agenda 2026'!$S$2:$S$376,0)),""),"")&amp;IF(COUNTIFS('Agenda 2026'!$Q$2:$Q$376,DATE(2026,10,17),'Agenda 2026'!$M$2:$M$376,1)&gt;=4,CHAR(10)&amp;IFERROR(INDEX('Agenda 2026'!$B$2:$B$376,MATCH(DATE(2026,10,17)*10+4,'Agenda 2026'!$S$2:$S$376,0)),""),"")&amp;IF(COUNTIFS('Agenda 2026'!$Q$2:$Q$376,DATE(2026,10,17),'Agenda 2026'!$M$2:$M$376,1)&gt;=5,CHAR(10)&amp;IFERROR(INDEX('Agenda 2026'!$B$2:$B$376,MATCH(DATE(2026,10,17)*10+5,'Agenda 2026'!$S$2:$S$376,0)),""),"")&amp;IF(COUNTIFS('Agenda 2026'!$Q$2:$Q$376,DATE(2026,10,17),'Agenda 2026'!$M$2:$M$376,1)&gt;=6,CHAR(10)&amp;IFERROR(INDEX('Agenda 2026'!$B$2:$B$376,MATCH(DATE(2026,10,17)*10+6,'Agenda 2026'!$S$2:$S$376,0)),""),"")&amp;IF(COUNTIFS('Agenda 2026'!$Q$2:$Q$376,DATE(2026,10,17),'Agenda 2026'!$M$2:$M$376,1)&gt;=7,CHAR(10)&amp;IFERROR(INDEX('Agenda 2026'!$B$2:$B$376,MATCH(DATE(2026,10,17)*10+7,'Agenda 2026'!$S$2:$S$376,0)),""),"")&amp;IF(COUNTIFS('Agenda 2026'!$Q$2:$Q$376,DATE(2026,10,17),'Agenda 2026'!$M$2:$M$376,1)&gt;=8,CHAR(10)&amp;IFERROR(INDEX('Agenda 2026'!$B$2:$B$376,MATCH(DATE(2026,10,17)*10+8,'Agenda 2026'!$S$2:$S$376,0)),""),"")&amp;IF(COUNTIFS('Agenda 2026'!$Q$2:$Q$376,DATE(2026,10,17),'Agenda 2026'!$M$2:$M$376,1)&gt;=9,CHAR(10)&amp;IFERROR(INDEX('Agenda 2026'!$B$2:$B$376,MATCH(DATE(2026,10,17)*10+9,'Agenda 2026'!$S$2:$S$376,0)),""),"")&amp;IF(COUNTIFS('Agenda 2026'!$Q$2:$Q$376,DATE(2026,10,17),'Agenda 2026'!$M$2:$M$376,1)&gt;=10,CHAR(10)&amp;IFERROR(INDEX('Agenda 2026'!$B$2:$B$376,MATCH(DATE(2026,10,17)*10+10,'Agenda 2026'!$S$2:$S$376,0)),""),"")&amp;IF(COUNTIFS('Agenda 2026'!$Q$2:$Q$376,DATE(2026,10,17),'Agenda 2026'!$M$2:$M$376,1)&gt;=11,CHAR(10)&amp;IFERROR(INDEX('Agenda 2026'!$B$2:$B$376,MATCH(DATE(2026,10,17)*10+11,'Agenda 2026'!$S$2:$S$376,0)),""),"")&amp;IF(COUNTIFS('Agenda 2026'!$Q$2:$Q$376,DATE(2026,10,17),'Agenda 2026'!$M$2:$M$376,1)&gt;=12,CHAR(10)&amp;IFERROR(INDEX('Agenda 2026'!$B$2:$B$376,MATCH(DATE(2026,10,17)*10+12,'Agenda 2026'!$S$2:$S$376,0)),""),"")</f>
        <v>17</v>
      </c>
      <c r="H93" s="58" t="str">
        <f t="array" ref="H93">18&amp;IF(COUNTIFS('Agenda 2026'!$Q$2:$Q$376,DATE(2026,10,18),'Agenda 2026'!$M$2:$M$376,1)&gt;=1,CHAR(10)&amp;IFERROR(INDEX('Agenda 2026'!$B$2:$B$376,MATCH(DATE(2026,10,18)*10+1,'Agenda 2026'!$S$2:$S$376,0)),""),"")&amp;IF(COUNTIFS('Agenda 2026'!$Q$2:$Q$376,DATE(2026,10,18),'Agenda 2026'!$M$2:$M$376,1)&gt;=2,CHAR(10)&amp;IFERROR(INDEX('Agenda 2026'!$B$2:$B$376,MATCH(DATE(2026,10,18)*10+2,'Agenda 2026'!$S$2:$S$376,0)),""),"")&amp;IF(COUNTIFS('Agenda 2026'!$Q$2:$Q$376,DATE(2026,10,18),'Agenda 2026'!$M$2:$M$376,1)&gt;=3,CHAR(10)&amp;IFERROR(INDEX('Agenda 2026'!$B$2:$B$376,MATCH(DATE(2026,10,18)*10+3,'Agenda 2026'!$S$2:$S$376,0)),""),"")&amp;IF(COUNTIFS('Agenda 2026'!$Q$2:$Q$376,DATE(2026,10,18),'Agenda 2026'!$M$2:$M$376,1)&gt;=4,CHAR(10)&amp;IFERROR(INDEX('Agenda 2026'!$B$2:$B$376,MATCH(DATE(2026,10,18)*10+4,'Agenda 2026'!$S$2:$S$376,0)),""),"")&amp;IF(COUNTIFS('Agenda 2026'!$Q$2:$Q$376,DATE(2026,10,18),'Agenda 2026'!$M$2:$M$376,1)&gt;=5,CHAR(10)&amp;IFERROR(INDEX('Agenda 2026'!$B$2:$B$376,MATCH(DATE(2026,10,18)*10+5,'Agenda 2026'!$S$2:$S$376,0)),""),"")&amp;IF(COUNTIFS('Agenda 2026'!$Q$2:$Q$376,DATE(2026,10,18),'Agenda 2026'!$M$2:$M$376,1)&gt;=6,CHAR(10)&amp;IFERROR(INDEX('Agenda 2026'!$B$2:$B$376,MATCH(DATE(2026,10,18)*10+6,'Agenda 2026'!$S$2:$S$376,0)),""),"")&amp;IF(COUNTIFS('Agenda 2026'!$Q$2:$Q$376,DATE(2026,10,18),'Agenda 2026'!$M$2:$M$376,1)&gt;=7,CHAR(10)&amp;IFERROR(INDEX('Agenda 2026'!$B$2:$B$376,MATCH(DATE(2026,10,18)*10+7,'Agenda 2026'!$S$2:$S$376,0)),""),"")&amp;IF(COUNTIFS('Agenda 2026'!$Q$2:$Q$376,DATE(2026,10,18),'Agenda 2026'!$M$2:$M$376,1)&gt;=8,CHAR(10)&amp;IFERROR(INDEX('Agenda 2026'!$B$2:$B$376,MATCH(DATE(2026,10,18)*10+8,'Agenda 2026'!$S$2:$S$376,0)),""),"")&amp;IF(COUNTIFS('Agenda 2026'!$Q$2:$Q$376,DATE(2026,10,18),'Agenda 2026'!$M$2:$M$376,1)&gt;=9,CHAR(10)&amp;IFERROR(INDEX('Agenda 2026'!$B$2:$B$376,MATCH(DATE(2026,10,18)*10+9,'Agenda 2026'!$S$2:$S$376,0)),""),"")&amp;IF(COUNTIFS('Agenda 2026'!$Q$2:$Q$376,DATE(2026,10,18),'Agenda 2026'!$M$2:$M$376,1)&gt;=10,CHAR(10)&amp;IFERROR(INDEX('Agenda 2026'!$B$2:$B$376,MATCH(DATE(2026,10,18)*10+10,'Agenda 2026'!$S$2:$S$376,0)),""),"")&amp;IF(COUNTIFS('Agenda 2026'!$Q$2:$Q$376,DATE(2026,10,18),'Agenda 2026'!$M$2:$M$376,1)&gt;=11,CHAR(10)&amp;IFERROR(INDEX('Agenda 2026'!$B$2:$B$376,MATCH(DATE(2026,10,18)*10+11,'Agenda 2026'!$S$2:$S$376,0)),""),"")&amp;IF(COUNTIFS('Agenda 2026'!$Q$2:$Q$376,DATE(2026,10,18),'Agenda 2026'!$M$2:$M$376,1)&gt;=12,CHAR(10)&amp;IFERROR(INDEX('Agenda 2026'!$B$2:$B$376,MATCH(DATE(2026,10,18)*10+12,'Agenda 2026'!$S$2:$S$376,0)),""),"")</f>
        <v>18</v>
      </c>
    </row>
    <row r="94" spans="1:8" ht="69.75" customHeight="1" x14ac:dyDescent="0.35">
      <c r="A94" s="17"/>
      <c r="B94" s="58" t="str">
        <f t="array" ref="B94">19&amp;IF(COUNTIFS('Agenda 2026'!$Q$2:$Q$376,DATE(2026,10,19),'Agenda 2026'!$M$2:$M$376,1)&gt;=1,CHAR(10)&amp;IFERROR(INDEX('Agenda 2026'!$B$2:$B$376,MATCH(DATE(2026,10,19)*10+1,'Agenda 2026'!$S$2:$S$376,0)),""),"")&amp;IF(COUNTIFS('Agenda 2026'!$Q$2:$Q$376,DATE(2026,10,19),'Agenda 2026'!$M$2:$M$376,1)&gt;=2,CHAR(10)&amp;IFERROR(INDEX('Agenda 2026'!$B$2:$B$376,MATCH(DATE(2026,10,19)*10+2,'Agenda 2026'!$S$2:$S$376,0)),""),"")&amp;IF(COUNTIFS('Agenda 2026'!$Q$2:$Q$376,DATE(2026,10,19),'Agenda 2026'!$M$2:$M$376,1)&gt;=3,CHAR(10)&amp;IFERROR(INDEX('Agenda 2026'!$B$2:$B$376,MATCH(DATE(2026,10,19)*10+3,'Agenda 2026'!$S$2:$S$376,0)),""),"")&amp;IF(COUNTIFS('Agenda 2026'!$Q$2:$Q$376,DATE(2026,10,19),'Agenda 2026'!$M$2:$M$376,1)&gt;=4,CHAR(10)&amp;IFERROR(INDEX('Agenda 2026'!$B$2:$B$376,MATCH(DATE(2026,10,19)*10+4,'Agenda 2026'!$S$2:$S$376,0)),""),"")&amp;IF(COUNTIFS('Agenda 2026'!$Q$2:$Q$376,DATE(2026,10,19),'Agenda 2026'!$M$2:$M$376,1)&gt;=5,CHAR(10)&amp;IFERROR(INDEX('Agenda 2026'!$B$2:$B$376,MATCH(DATE(2026,10,19)*10+5,'Agenda 2026'!$S$2:$S$376,0)),""),"")&amp;IF(COUNTIFS('Agenda 2026'!$Q$2:$Q$376,DATE(2026,10,19),'Agenda 2026'!$M$2:$M$376,1)&gt;=6,CHAR(10)&amp;IFERROR(INDEX('Agenda 2026'!$B$2:$B$376,MATCH(DATE(2026,10,19)*10+6,'Agenda 2026'!$S$2:$S$376,0)),""),"")&amp;IF(COUNTIFS('Agenda 2026'!$Q$2:$Q$376,DATE(2026,10,19),'Agenda 2026'!$M$2:$M$376,1)&gt;=7,CHAR(10)&amp;IFERROR(INDEX('Agenda 2026'!$B$2:$B$376,MATCH(DATE(2026,10,19)*10+7,'Agenda 2026'!$S$2:$S$376,0)),""),"")&amp;IF(COUNTIFS('Agenda 2026'!$Q$2:$Q$376,DATE(2026,10,19),'Agenda 2026'!$M$2:$M$376,1)&gt;=8,CHAR(10)&amp;IFERROR(INDEX('Agenda 2026'!$B$2:$B$376,MATCH(DATE(2026,10,19)*10+8,'Agenda 2026'!$S$2:$S$376,0)),""),"")&amp;IF(COUNTIFS('Agenda 2026'!$Q$2:$Q$376,DATE(2026,10,19),'Agenda 2026'!$M$2:$M$376,1)&gt;=9,CHAR(10)&amp;IFERROR(INDEX('Agenda 2026'!$B$2:$B$376,MATCH(DATE(2026,10,19)*10+9,'Agenda 2026'!$S$2:$S$376,0)),""),"")&amp;IF(COUNTIFS('Agenda 2026'!$Q$2:$Q$376,DATE(2026,10,19),'Agenda 2026'!$M$2:$M$376,1)&gt;=10,CHAR(10)&amp;IFERROR(INDEX('Agenda 2026'!$B$2:$B$376,MATCH(DATE(2026,10,19)*10+10,'Agenda 2026'!$S$2:$S$376,0)),""),"")&amp;IF(COUNTIFS('Agenda 2026'!$Q$2:$Q$376,DATE(2026,10,19),'Agenda 2026'!$M$2:$M$376,1)&gt;=11,CHAR(10)&amp;IFERROR(INDEX('Agenda 2026'!$B$2:$B$376,MATCH(DATE(2026,10,19)*10+11,'Agenda 2026'!$S$2:$S$376,0)),""),"")&amp;IF(COUNTIFS('Agenda 2026'!$Q$2:$Q$376,DATE(2026,10,19),'Agenda 2026'!$M$2:$M$376,1)&gt;=12,CHAR(10)&amp;IFERROR(INDEX('Agenda 2026'!$B$2:$B$376,MATCH(DATE(2026,10,19)*10+12,'Agenda 2026'!$S$2:$S$376,0)),""),"")</f>
        <v>19</v>
      </c>
      <c r="C94" s="58" t="str">
        <f t="array" ref="C94">20&amp;IF(COUNTIFS('Agenda 2026'!$Q$2:$Q$376,DATE(2026,10,20),'Agenda 2026'!$M$2:$M$376,1)&gt;=1,CHAR(10)&amp;IFERROR(INDEX('Agenda 2026'!$B$2:$B$376,MATCH(DATE(2026,10,20)*10+1,'Agenda 2026'!$S$2:$S$376,0)),""),"")&amp;IF(COUNTIFS('Agenda 2026'!$Q$2:$Q$376,DATE(2026,10,20),'Agenda 2026'!$M$2:$M$376,1)&gt;=2,CHAR(10)&amp;IFERROR(INDEX('Agenda 2026'!$B$2:$B$376,MATCH(DATE(2026,10,20)*10+2,'Agenda 2026'!$S$2:$S$376,0)),""),"")&amp;IF(COUNTIFS('Agenda 2026'!$Q$2:$Q$376,DATE(2026,10,20),'Agenda 2026'!$M$2:$M$376,1)&gt;=3,CHAR(10)&amp;IFERROR(INDEX('Agenda 2026'!$B$2:$B$376,MATCH(DATE(2026,10,20)*10+3,'Agenda 2026'!$S$2:$S$376,0)),""),"")&amp;IF(COUNTIFS('Agenda 2026'!$Q$2:$Q$376,DATE(2026,10,20),'Agenda 2026'!$M$2:$M$376,1)&gt;=4,CHAR(10)&amp;IFERROR(INDEX('Agenda 2026'!$B$2:$B$376,MATCH(DATE(2026,10,20)*10+4,'Agenda 2026'!$S$2:$S$376,0)),""),"")&amp;IF(COUNTIFS('Agenda 2026'!$Q$2:$Q$376,DATE(2026,10,20),'Agenda 2026'!$M$2:$M$376,1)&gt;=5,CHAR(10)&amp;IFERROR(INDEX('Agenda 2026'!$B$2:$B$376,MATCH(DATE(2026,10,20)*10+5,'Agenda 2026'!$S$2:$S$376,0)),""),"")&amp;IF(COUNTIFS('Agenda 2026'!$Q$2:$Q$376,DATE(2026,10,20),'Agenda 2026'!$M$2:$M$376,1)&gt;=6,CHAR(10)&amp;IFERROR(INDEX('Agenda 2026'!$B$2:$B$376,MATCH(DATE(2026,10,20)*10+6,'Agenda 2026'!$S$2:$S$376,0)),""),"")&amp;IF(COUNTIFS('Agenda 2026'!$Q$2:$Q$376,DATE(2026,10,20),'Agenda 2026'!$M$2:$M$376,1)&gt;=7,CHAR(10)&amp;IFERROR(INDEX('Agenda 2026'!$B$2:$B$376,MATCH(DATE(2026,10,20)*10+7,'Agenda 2026'!$S$2:$S$376,0)),""),"")&amp;IF(COUNTIFS('Agenda 2026'!$Q$2:$Q$376,DATE(2026,10,20),'Agenda 2026'!$M$2:$M$376,1)&gt;=8,CHAR(10)&amp;IFERROR(INDEX('Agenda 2026'!$B$2:$B$376,MATCH(DATE(2026,10,20)*10+8,'Agenda 2026'!$S$2:$S$376,0)),""),"")&amp;IF(COUNTIFS('Agenda 2026'!$Q$2:$Q$376,DATE(2026,10,20),'Agenda 2026'!$M$2:$M$376,1)&gt;=9,CHAR(10)&amp;IFERROR(INDEX('Agenda 2026'!$B$2:$B$376,MATCH(DATE(2026,10,20)*10+9,'Agenda 2026'!$S$2:$S$376,0)),""),"")&amp;IF(COUNTIFS('Agenda 2026'!$Q$2:$Q$376,DATE(2026,10,20),'Agenda 2026'!$M$2:$M$376,1)&gt;=10,CHAR(10)&amp;IFERROR(INDEX('Agenda 2026'!$B$2:$B$376,MATCH(DATE(2026,10,20)*10+10,'Agenda 2026'!$S$2:$S$376,0)),""),"")&amp;IF(COUNTIFS('Agenda 2026'!$Q$2:$Q$376,DATE(2026,10,20),'Agenda 2026'!$M$2:$M$376,1)&gt;=11,CHAR(10)&amp;IFERROR(INDEX('Agenda 2026'!$B$2:$B$376,MATCH(DATE(2026,10,20)*10+11,'Agenda 2026'!$S$2:$S$376,0)),""),"")&amp;IF(COUNTIFS('Agenda 2026'!$Q$2:$Q$376,DATE(2026,10,20),'Agenda 2026'!$M$2:$M$376,1)&gt;=12,CHAR(10)&amp;IFERROR(INDEX('Agenda 2026'!$B$2:$B$376,MATCH(DATE(2026,10,20)*10+12,'Agenda 2026'!$S$2:$S$376,0)),""),"")</f>
        <v>20</v>
      </c>
      <c r="D94" s="58" t="str">
        <f t="array" ref="D94">21&amp;IF(COUNTIFS('Agenda 2026'!$Q$2:$Q$376,DATE(2026,10,21),'Agenda 2026'!$M$2:$M$376,1)&gt;=1,CHAR(10)&amp;IFERROR(INDEX('Agenda 2026'!$B$2:$B$376,MATCH(DATE(2026,10,21)*10+1,'Agenda 2026'!$S$2:$S$376,0)),""),"")&amp;IF(COUNTIFS('Agenda 2026'!$Q$2:$Q$376,DATE(2026,10,21),'Agenda 2026'!$M$2:$M$376,1)&gt;=2,CHAR(10)&amp;IFERROR(INDEX('Agenda 2026'!$B$2:$B$376,MATCH(DATE(2026,10,21)*10+2,'Agenda 2026'!$S$2:$S$376,0)),""),"")&amp;IF(COUNTIFS('Agenda 2026'!$Q$2:$Q$376,DATE(2026,10,21),'Agenda 2026'!$M$2:$M$376,1)&gt;=3,CHAR(10)&amp;IFERROR(INDEX('Agenda 2026'!$B$2:$B$376,MATCH(DATE(2026,10,21)*10+3,'Agenda 2026'!$S$2:$S$376,0)),""),"")&amp;IF(COUNTIFS('Agenda 2026'!$Q$2:$Q$376,DATE(2026,10,21),'Agenda 2026'!$M$2:$M$376,1)&gt;=4,CHAR(10)&amp;IFERROR(INDEX('Agenda 2026'!$B$2:$B$376,MATCH(DATE(2026,10,21)*10+4,'Agenda 2026'!$S$2:$S$376,0)),""),"")&amp;IF(COUNTIFS('Agenda 2026'!$Q$2:$Q$376,DATE(2026,10,21),'Agenda 2026'!$M$2:$M$376,1)&gt;=5,CHAR(10)&amp;IFERROR(INDEX('Agenda 2026'!$B$2:$B$376,MATCH(DATE(2026,10,21)*10+5,'Agenda 2026'!$S$2:$S$376,0)),""),"")&amp;IF(COUNTIFS('Agenda 2026'!$Q$2:$Q$376,DATE(2026,10,21),'Agenda 2026'!$M$2:$M$376,1)&gt;=6,CHAR(10)&amp;IFERROR(INDEX('Agenda 2026'!$B$2:$B$376,MATCH(DATE(2026,10,21)*10+6,'Agenda 2026'!$S$2:$S$376,0)),""),"")&amp;IF(COUNTIFS('Agenda 2026'!$Q$2:$Q$376,DATE(2026,10,21),'Agenda 2026'!$M$2:$M$376,1)&gt;=7,CHAR(10)&amp;IFERROR(INDEX('Agenda 2026'!$B$2:$B$376,MATCH(DATE(2026,10,21)*10+7,'Agenda 2026'!$S$2:$S$376,0)),""),"")&amp;IF(COUNTIFS('Agenda 2026'!$Q$2:$Q$376,DATE(2026,10,21),'Agenda 2026'!$M$2:$M$376,1)&gt;=8,CHAR(10)&amp;IFERROR(INDEX('Agenda 2026'!$B$2:$B$376,MATCH(DATE(2026,10,21)*10+8,'Agenda 2026'!$S$2:$S$376,0)),""),"")&amp;IF(COUNTIFS('Agenda 2026'!$Q$2:$Q$376,DATE(2026,10,21),'Agenda 2026'!$M$2:$M$376,1)&gt;=9,CHAR(10)&amp;IFERROR(INDEX('Agenda 2026'!$B$2:$B$376,MATCH(DATE(2026,10,21)*10+9,'Agenda 2026'!$S$2:$S$376,0)),""),"")&amp;IF(COUNTIFS('Agenda 2026'!$Q$2:$Q$376,DATE(2026,10,21),'Agenda 2026'!$M$2:$M$376,1)&gt;=10,CHAR(10)&amp;IFERROR(INDEX('Agenda 2026'!$B$2:$B$376,MATCH(DATE(2026,10,21)*10+10,'Agenda 2026'!$S$2:$S$376,0)),""),"")&amp;IF(COUNTIFS('Agenda 2026'!$Q$2:$Q$376,DATE(2026,10,21),'Agenda 2026'!$M$2:$M$376,1)&gt;=11,CHAR(10)&amp;IFERROR(INDEX('Agenda 2026'!$B$2:$B$376,MATCH(DATE(2026,10,21)*10+11,'Agenda 2026'!$S$2:$S$376,0)),""),"")&amp;IF(COUNTIFS('Agenda 2026'!$Q$2:$Q$376,DATE(2026,10,21),'Agenda 2026'!$M$2:$M$376,1)&gt;=12,CHAR(10)&amp;IFERROR(INDEX('Agenda 2026'!$B$2:$B$376,MATCH(DATE(2026,10,21)*10+12,'Agenda 2026'!$S$2:$S$376,0)),""),"")</f>
        <v>21</v>
      </c>
      <c r="E94" s="58" t="str">
        <f t="array" ref="E94">22&amp;IF(COUNTIFS('Agenda 2026'!$Q$2:$Q$376,DATE(2026,10,22),'Agenda 2026'!$M$2:$M$376,1)&gt;=1,CHAR(10)&amp;IFERROR(INDEX('Agenda 2026'!$B$2:$B$376,MATCH(DATE(2026,10,22)*10+1,'Agenda 2026'!$S$2:$S$376,0)),""),"")&amp;IF(COUNTIFS('Agenda 2026'!$Q$2:$Q$376,DATE(2026,10,22),'Agenda 2026'!$M$2:$M$376,1)&gt;=2,CHAR(10)&amp;IFERROR(INDEX('Agenda 2026'!$B$2:$B$376,MATCH(DATE(2026,10,22)*10+2,'Agenda 2026'!$S$2:$S$376,0)),""),"")&amp;IF(COUNTIFS('Agenda 2026'!$Q$2:$Q$376,DATE(2026,10,22),'Agenda 2026'!$M$2:$M$376,1)&gt;=3,CHAR(10)&amp;IFERROR(INDEX('Agenda 2026'!$B$2:$B$376,MATCH(DATE(2026,10,22)*10+3,'Agenda 2026'!$S$2:$S$376,0)),""),"")&amp;IF(COUNTIFS('Agenda 2026'!$Q$2:$Q$376,DATE(2026,10,22),'Agenda 2026'!$M$2:$M$376,1)&gt;=4,CHAR(10)&amp;IFERROR(INDEX('Agenda 2026'!$B$2:$B$376,MATCH(DATE(2026,10,22)*10+4,'Agenda 2026'!$S$2:$S$376,0)),""),"")&amp;IF(COUNTIFS('Agenda 2026'!$Q$2:$Q$376,DATE(2026,10,22),'Agenda 2026'!$M$2:$M$376,1)&gt;=5,CHAR(10)&amp;IFERROR(INDEX('Agenda 2026'!$B$2:$B$376,MATCH(DATE(2026,10,22)*10+5,'Agenda 2026'!$S$2:$S$376,0)),""),"")&amp;IF(COUNTIFS('Agenda 2026'!$Q$2:$Q$376,DATE(2026,10,22),'Agenda 2026'!$M$2:$M$376,1)&gt;=6,CHAR(10)&amp;IFERROR(INDEX('Agenda 2026'!$B$2:$B$376,MATCH(DATE(2026,10,22)*10+6,'Agenda 2026'!$S$2:$S$376,0)),""),"")&amp;IF(COUNTIFS('Agenda 2026'!$Q$2:$Q$376,DATE(2026,10,22),'Agenda 2026'!$M$2:$M$376,1)&gt;=7,CHAR(10)&amp;IFERROR(INDEX('Agenda 2026'!$B$2:$B$376,MATCH(DATE(2026,10,22)*10+7,'Agenda 2026'!$S$2:$S$376,0)),""),"")&amp;IF(COUNTIFS('Agenda 2026'!$Q$2:$Q$376,DATE(2026,10,22),'Agenda 2026'!$M$2:$M$376,1)&gt;=8,CHAR(10)&amp;IFERROR(INDEX('Agenda 2026'!$B$2:$B$376,MATCH(DATE(2026,10,22)*10+8,'Agenda 2026'!$S$2:$S$376,0)),""),"")&amp;IF(COUNTIFS('Agenda 2026'!$Q$2:$Q$376,DATE(2026,10,22),'Agenda 2026'!$M$2:$M$376,1)&gt;=9,CHAR(10)&amp;IFERROR(INDEX('Agenda 2026'!$B$2:$B$376,MATCH(DATE(2026,10,22)*10+9,'Agenda 2026'!$S$2:$S$376,0)),""),"")&amp;IF(COUNTIFS('Agenda 2026'!$Q$2:$Q$376,DATE(2026,10,22),'Agenda 2026'!$M$2:$M$376,1)&gt;=10,CHAR(10)&amp;IFERROR(INDEX('Agenda 2026'!$B$2:$B$376,MATCH(DATE(2026,10,22)*10+10,'Agenda 2026'!$S$2:$S$376,0)),""),"")&amp;IF(COUNTIFS('Agenda 2026'!$Q$2:$Q$376,DATE(2026,10,22),'Agenda 2026'!$M$2:$M$376,1)&gt;=11,CHAR(10)&amp;IFERROR(INDEX('Agenda 2026'!$B$2:$B$376,MATCH(DATE(2026,10,22)*10+11,'Agenda 2026'!$S$2:$S$376,0)),""),"")&amp;IF(COUNTIFS('Agenda 2026'!$Q$2:$Q$376,DATE(2026,10,22),'Agenda 2026'!$M$2:$M$376,1)&gt;=12,CHAR(10)&amp;IFERROR(INDEX('Agenda 2026'!$B$2:$B$376,MATCH(DATE(2026,10,22)*10+12,'Agenda 2026'!$S$2:$S$376,0)),""),"")</f>
        <v>22</v>
      </c>
      <c r="F94" s="58" t="str">
        <f t="array" ref="F94">23&amp;IF(COUNTIFS('Agenda 2026'!$Q$2:$Q$376,DATE(2026,10,23),'Agenda 2026'!$M$2:$M$376,1)&gt;=1,CHAR(10)&amp;IFERROR(INDEX('Agenda 2026'!$B$2:$B$376,MATCH(DATE(2026,10,23)*10+1,'Agenda 2026'!$S$2:$S$376,0)),""),"")&amp;IF(COUNTIFS('Agenda 2026'!$Q$2:$Q$376,DATE(2026,10,23),'Agenda 2026'!$M$2:$M$376,1)&gt;=2,CHAR(10)&amp;IFERROR(INDEX('Agenda 2026'!$B$2:$B$376,MATCH(DATE(2026,10,23)*10+2,'Agenda 2026'!$S$2:$S$376,0)),""),"")&amp;IF(COUNTIFS('Agenda 2026'!$Q$2:$Q$376,DATE(2026,10,23),'Agenda 2026'!$M$2:$M$376,1)&gt;=3,CHAR(10)&amp;IFERROR(INDEX('Agenda 2026'!$B$2:$B$376,MATCH(DATE(2026,10,23)*10+3,'Agenda 2026'!$S$2:$S$376,0)),""),"")&amp;IF(COUNTIFS('Agenda 2026'!$Q$2:$Q$376,DATE(2026,10,23),'Agenda 2026'!$M$2:$M$376,1)&gt;=4,CHAR(10)&amp;IFERROR(INDEX('Agenda 2026'!$B$2:$B$376,MATCH(DATE(2026,10,23)*10+4,'Agenda 2026'!$S$2:$S$376,0)),""),"")&amp;IF(COUNTIFS('Agenda 2026'!$Q$2:$Q$376,DATE(2026,10,23),'Agenda 2026'!$M$2:$M$376,1)&gt;=5,CHAR(10)&amp;IFERROR(INDEX('Agenda 2026'!$B$2:$B$376,MATCH(DATE(2026,10,23)*10+5,'Agenda 2026'!$S$2:$S$376,0)),""),"")&amp;IF(COUNTIFS('Agenda 2026'!$Q$2:$Q$376,DATE(2026,10,23),'Agenda 2026'!$M$2:$M$376,1)&gt;=6,CHAR(10)&amp;IFERROR(INDEX('Agenda 2026'!$B$2:$B$376,MATCH(DATE(2026,10,23)*10+6,'Agenda 2026'!$S$2:$S$376,0)),""),"")&amp;IF(COUNTIFS('Agenda 2026'!$Q$2:$Q$376,DATE(2026,10,23),'Agenda 2026'!$M$2:$M$376,1)&gt;=7,CHAR(10)&amp;IFERROR(INDEX('Agenda 2026'!$B$2:$B$376,MATCH(DATE(2026,10,23)*10+7,'Agenda 2026'!$S$2:$S$376,0)),""),"")&amp;IF(COUNTIFS('Agenda 2026'!$Q$2:$Q$376,DATE(2026,10,23),'Agenda 2026'!$M$2:$M$376,1)&gt;=8,CHAR(10)&amp;IFERROR(INDEX('Agenda 2026'!$B$2:$B$376,MATCH(DATE(2026,10,23)*10+8,'Agenda 2026'!$S$2:$S$376,0)),""),"")&amp;IF(COUNTIFS('Agenda 2026'!$Q$2:$Q$376,DATE(2026,10,23),'Agenda 2026'!$M$2:$M$376,1)&gt;=9,CHAR(10)&amp;IFERROR(INDEX('Agenda 2026'!$B$2:$B$376,MATCH(DATE(2026,10,23)*10+9,'Agenda 2026'!$S$2:$S$376,0)),""),"")&amp;IF(COUNTIFS('Agenda 2026'!$Q$2:$Q$376,DATE(2026,10,23),'Agenda 2026'!$M$2:$M$376,1)&gt;=10,CHAR(10)&amp;IFERROR(INDEX('Agenda 2026'!$B$2:$B$376,MATCH(DATE(2026,10,23)*10+10,'Agenda 2026'!$S$2:$S$376,0)),""),"")&amp;IF(COUNTIFS('Agenda 2026'!$Q$2:$Q$376,DATE(2026,10,23),'Agenda 2026'!$M$2:$M$376,1)&gt;=11,CHAR(10)&amp;IFERROR(INDEX('Agenda 2026'!$B$2:$B$376,MATCH(DATE(2026,10,23)*10+11,'Agenda 2026'!$S$2:$S$376,0)),""),"")&amp;IF(COUNTIFS('Agenda 2026'!$Q$2:$Q$376,DATE(2026,10,23),'Agenda 2026'!$M$2:$M$376,1)&gt;=12,CHAR(10)&amp;IFERROR(INDEX('Agenda 2026'!$B$2:$B$376,MATCH(DATE(2026,10,23)*10+12,'Agenda 2026'!$S$2:$S$376,0)),""),"")</f>
        <v>23</v>
      </c>
      <c r="G94" s="58" t="str">
        <f t="array" ref="G94">24&amp;IF(COUNTIFS('Agenda 2026'!$Q$2:$Q$376,DATE(2026,10,24),'Agenda 2026'!$M$2:$M$376,1)&gt;=1,CHAR(10)&amp;IFERROR(INDEX('Agenda 2026'!$B$2:$B$376,MATCH(DATE(2026,10,24)*10+1,'Agenda 2026'!$S$2:$S$376,0)),""),"")&amp;IF(COUNTIFS('Agenda 2026'!$Q$2:$Q$376,DATE(2026,10,24),'Agenda 2026'!$M$2:$M$376,1)&gt;=2,CHAR(10)&amp;IFERROR(INDEX('Agenda 2026'!$B$2:$B$376,MATCH(DATE(2026,10,24)*10+2,'Agenda 2026'!$S$2:$S$376,0)),""),"")&amp;IF(COUNTIFS('Agenda 2026'!$Q$2:$Q$376,DATE(2026,10,24),'Agenda 2026'!$M$2:$M$376,1)&gt;=3,CHAR(10)&amp;IFERROR(INDEX('Agenda 2026'!$B$2:$B$376,MATCH(DATE(2026,10,24)*10+3,'Agenda 2026'!$S$2:$S$376,0)),""),"")&amp;IF(COUNTIFS('Agenda 2026'!$Q$2:$Q$376,DATE(2026,10,24),'Agenda 2026'!$M$2:$M$376,1)&gt;=4,CHAR(10)&amp;IFERROR(INDEX('Agenda 2026'!$B$2:$B$376,MATCH(DATE(2026,10,24)*10+4,'Agenda 2026'!$S$2:$S$376,0)),""),"")&amp;IF(COUNTIFS('Agenda 2026'!$Q$2:$Q$376,DATE(2026,10,24),'Agenda 2026'!$M$2:$M$376,1)&gt;=5,CHAR(10)&amp;IFERROR(INDEX('Agenda 2026'!$B$2:$B$376,MATCH(DATE(2026,10,24)*10+5,'Agenda 2026'!$S$2:$S$376,0)),""),"")&amp;IF(COUNTIFS('Agenda 2026'!$Q$2:$Q$376,DATE(2026,10,24),'Agenda 2026'!$M$2:$M$376,1)&gt;=6,CHAR(10)&amp;IFERROR(INDEX('Agenda 2026'!$B$2:$B$376,MATCH(DATE(2026,10,24)*10+6,'Agenda 2026'!$S$2:$S$376,0)),""),"")&amp;IF(COUNTIFS('Agenda 2026'!$Q$2:$Q$376,DATE(2026,10,24),'Agenda 2026'!$M$2:$M$376,1)&gt;=7,CHAR(10)&amp;IFERROR(INDEX('Agenda 2026'!$B$2:$B$376,MATCH(DATE(2026,10,24)*10+7,'Agenda 2026'!$S$2:$S$376,0)),""),"")&amp;IF(COUNTIFS('Agenda 2026'!$Q$2:$Q$376,DATE(2026,10,24),'Agenda 2026'!$M$2:$M$376,1)&gt;=8,CHAR(10)&amp;IFERROR(INDEX('Agenda 2026'!$B$2:$B$376,MATCH(DATE(2026,10,24)*10+8,'Agenda 2026'!$S$2:$S$376,0)),""),"")&amp;IF(COUNTIFS('Agenda 2026'!$Q$2:$Q$376,DATE(2026,10,24),'Agenda 2026'!$M$2:$M$376,1)&gt;=9,CHAR(10)&amp;IFERROR(INDEX('Agenda 2026'!$B$2:$B$376,MATCH(DATE(2026,10,24)*10+9,'Agenda 2026'!$S$2:$S$376,0)),""),"")&amp;IF(COUNTIFS('Agenda 2026'!$Q$2:$Q$376,DATE(2026,10,24),'Agenda 2026'!$M$2:$M$376,1)&gt;=10,CHAR(10)&amp;IFERROR(INDEX('Agenda 2026'!$B$2:$B$376,MATCH(DATE(2026,10,24)*10+10,'Agenda 2026'!$S$2:$S$376,0)),""),"")&amp;IF(COUNTIFS('Agenda 2026'!$Q$2:$Q$376,DATE(2026,10,24),'Agenda 2026'!$M$2:$M$376,1)&gt;=11,CHAR(10)&amp;IFERROR(INDEX('Agenda 2026'!$B$2:$B$376,MATCH(DATE(2026,10,24)*10+11,'Agenda 2026'!$S$2:$S$376,0)),""),"")&amp;IF(COUNTIFS('Agenda 2026'!$Q$2:$Q$376,DATE(2026,10,24),'Agenda 2026'!$M$2:$M$376,1)&gt;=12,CHAR(10)&amp;IFERROR(INDEX('Agenda 2026'!$B$2:$B$376,MATCH(DATE(2026,10,24)*10+12,'Agenda 2026'!$S$2:$S$376,0)),""),"")</f>
        <v>24</v>
      </c>
      <c r="H94" s="58" t="str">
        <f t="array" ref="H94">25&amp;IF(COUNTIFS('Agenda 2026'!$Q$2:$Q$376,DATE(2026,10,25),'Agenda 2026'!$M$2:$M$376,1)&gt;=1,CHAR(10)&amp;IFERROR(INDEX('Agenda 2026'!$B$2:$B$376,MATCH(DATE(2026,10,25)*10+1,'Agenda 2026'!$S$2:$S$376,0)),""),"")&amp;IF(COUNTIFS('Agenda 2026'!$Q$2:$Q$376,DATE(2026,10,25),'Agenda 2026'!$M$2:$M$376,1)&gt;=2,CHAR(10)&amp;IFERROR(INDEX('Agenda 2026'!$B$2:$B$376,MATCH(DATE(2026,10,25)*10+2,'Agenda 2026'!$S$2:$S$376,0)),""),"")&amp;IF(COUNTIFS('Agenda 2026'!$Q$2:$Q$376,DATE(2026,10,25),'Agenda 2026'!$M$2:$M$376,1)&gt;=3,CHAR(10)&amp;IFERROR(INDEX('Agenda 2026'!$B$2:$B$376,MATCH(DATE(2026,10,25)*10+3,'Agenda 2026'!$S$2:$S$376,0)),""),"")&amp;IF(COUNTIFS('Agenda 2026'!$Q$2:$Q$376,DATE(2026,10,25),'Agenda 2026'!$M$2:$M$376,1)&gt;=4,CHAR(10)&amp;IFERROR(INDEX('Agenda 2026'!$B$2:$B$376,MATCH(DATE(2026,10,25)*10+4,'Agenda 2026'!$S$2:$S$376,0)),""),"")&amp;IF(COUNTIFS('Agenda 2026'!$Q$2:$Q$376,DATE(2026,10,25),'Agenda 2026'!$M$2:$M$376,1)&gt;=5,CHAR(10)&amp;IFERROR(INDEX('Agenda 2026'!$B$2:$B$376,MATCH(DATE(2026,10,25)*10+5,'Agenda 2026'!$S$2:$S$376,0)),""),"")&amp;IF(COUNTIFS('Agenda 2026'!$Q$2:$Q$376,DATE(2026,10,25),'Agenda 2026'!$M$2:$M$376,1)&gt;=6,CHAR(10)&amp;IFERROR(INDEX('Agenda 2026'!$B$2:$B$376,MATCH(DATE(2026,10,25)*10+6,'Agenda 2026'!$S$2:$S$376,0)),""),"")&amp;IF(COUNTIFS('Agenda 2026'!$Q$2:$Q$376,DATE(2026,10,25),'Agenda 2026'!$M$2:$M$376,1)&gt;=7,CHAR(10)&amp;IFERROR(INDEX('Agenda 2026'!$B$2:$B$376,MATCH(DATE(2026,10,25)*10+7,'Agenda 2026'!$S$2:$S$376,0)),""),"")&amp;IF(COUNTIFS('Agenda 2026'!$Q$2:$Q$376,DATE(2026,10,25),'Agenda 2026'!$M$2:$M$376,1)&gt;=8,CHAR(10)&amp;IFERROR(INDEX('Agenda 2026'!$B$2:$B$376,MATCH(DATE(2026,10,25)*10+8,'Agenda 2026'!$S$2:$S$376,0)),""),"")&amp;IF(COUNTIFS('Agenda 2026'!$Q$2:$Q$376,DATE(2026,10,25),'Agenda 2026'!$M$2:$M$376,1)&gt;=9,CHAR(10)&amp;IFERROR(INDEX('Agenda 2026'!$B$2:$B$376,MATCH(DATE(2026,10,25)*10+9,'Agenda 2026'!$S$2:$S$376,0)),""),"")&amp;IF(COUNTIFS('Agenda 2026'!$Q$2:$Q$376,DATE(2026,10,25),'Agenda 2026'!$M$2:$M$376,1)&gt;=10,CHAR(10)&amp;IFERROR(INDEX('Agenda 2026'!$B$2:$B$376,MATCH(DATE(2026,10,25)*10+10,'Agenda 2026'!$S$2:$S$376,0)),""),"")&amp;IF(COUNTIFS('Agenda 2026'!$Q$2:$Q$376,DATE(2026,10,25),'Agenda 2026'!$M$2:$M$376,1)&gt;=11,CHAR(10)&amp;IFERROR(INDEX('Agenda 2026'!$B$2:$B$376,MATCH(DATE(2026,10,25)*10+11,'Agenda 2026'!$S$2:$S$376,0)),""),"")&amp;IF(COUNTIFS('Agenda 2026'!$Q$2:$Q$376,DATE(2026,10,25),'Agenda 2026'!$M$2:$M$376,1)&gt;=12,CHAR(10)&amp;IFERROR(INDEX('Agenda 2026'!$B$2:$B$376,MATCH(DATE(2026,10,25)*10+12,'Agenda 2026'!$S$2:$S$376,0)),""),"")</f>
        <v>25</v>
      </c>
    </row>
    <row r="95" spans="1:8" ht="45.75" customHeight="1" x14ac:dyDescent="0.35">
      <c r="A95" s="17"/>
      <c r="B95" s="58" t="str">
        <f t="array" ref="B95">26&amp;IF(COUNTIFS('Agenda 2026'!$Q$2:$Q$376,DATE(2026,10,26),'Agenda 2026'!$M$2:$M$376,1)&gt;=1,CHAR(10)&amp;IFERROR(INDEX('Agenda 2026'!$B$2:$B$376,MATCH(DATE(2026,10,26)*10+1,'Agenda 2026'!$S$2:$S$376,0)),""),"")&amp;IF(COUNTIFS('Agenda 2026'!$Q$2:$Q$376,DATE(2026,10,26),'Agenda 2026'!$M$2:$M$376,1)&gt;=2,CHAR(10)&amp;IFERROR(INDEX('Agenda 2026'!$B$2:$B$376,MATCH(DATE(2026,10,26)*10+2,'Agenda 2026'!$S$2:$S$376,0)),""),"")&amp;IF(COUNTIFS('Agenda 2026'!$Q$2:$Q$376,DATE(2026,10,26),'Agenda 2026'!$M$2:$M$376,1)&gt;=3,CHAR(10)&amp;IFERROR(INDEX('Agenda 2026'!$B$2:$B$376,MATCH(DATE(2026,10,26)*10+3,'Agenda 2026'!$S$2:$S$376,0)),""),"")&amp;IF(COUNTIFS('Agenda 2026'!$Q$2:$Q$376,DATE(2026,10,26),'Agenda 2026'!$M$2:$M$376,1)&gt;=4,CHAR(10)&amp;IFERROR(INDEX('Agenda 2026'!$B$2:$B$376,MATCH(DATE(2026,10,26)*10+4,'Agenda 2026'!$S$2:$S$376,0)),""),"")&amp;IF(COUNTIFS('Agenda 2026'!$Q$2:$Q$376,DATE(2026,10,26),'Agenda 2026'!$M$2:$M$376,1)&gt;=5,CHAR(10)&amp;IFERROR(INDEX('Agenda 2026'!$B$2:$B$376,MATCH(DATE(2026,10,26)*10+5,'Agenda 2026'!$S$2:$S$376,0)),""),"")&amp;IF(COUNTIFS('Agenda 2026'!$Q$2:$Q$376,DATE(2026,10,26),'Agenda 2026'!$M$2:$M$376,1)&gt;=6,CHAR(10)&amp;IFERROR(INDEX('Agenda 2026'!$B$2:$B$376,MATCH(DATE(2026,10,26)*10+6,'Agenda 2026'!$S$2:$S$376,0)),""),"")&amp;IF(COUNTIFS('Agenda 2026'!$Q$2:$Q$376,DATE(2026,10,26),'Agenda 2026'!$M$2:$M$376,1)&gt;=7,CHAR(10)&amp;IFERROR(INDEX('Agenda 2026'!$B$2:$B$376,MATCH(DATE(2026,10,26)*10+7,'Agenda 2026'!$S$2:$S$376,0)),""),"")&amp;IF(COUNTIFS('Agenda 2026'!$Q$2:$Q$376,DATE(2026,10,26),'Agenda 2026'!$M$2:$M$376,1)&gt;=8,CHAR(10)&amp;IFERROR(INDEX('Agenda 2026'!$B$2:$B$376,MATCH(DATE(2026,10,26)*10+8,'Agenda 2026'!$S$2:$S$376,0)),""),"")&amp;IF(COUNTIFS('Agenda 2026'!$Q$2:$Q$376,DATE(2026,10,26),'Agenda 2026'!$M$2:$M$376,1)&gt;=9,CHAR(10)&amp;IFERROR(INDEX('Agenda 2026'!$B$2:$B$376,MATCH(DATE(2026,10,26)*10+9,'Agenda 2026'!$S$2:$S$376,0)),""),"")&amp;IF(COUNTIFS('Agenda 2026'!$Q$2:$Q$376,DATE(2026,10,26),'Agenda 2026'!$M$2:$M$376,1)&gt;=10,CHAR(10)&amp;IFERROR(INDEX('Agenda 2026'!$B$2:$B$376,MATCH(DATE(2026,10,26)*10+10,'Agenda 2026'!$S$2:$S$376,0)),""),"")&amp;IF(COUNTIFS('Agenda 2026'!$Q$2:$Q$376,DATE(2026,10,26),'Agenda 2026'!$M$2:$M$376,1)&gt;=11,CHAR(10)&amp;IFERROR(INDEX('Agenda 2026'!$B$2:$B$376,MATCH(DATE(2026,10,26)*10+11,'Agenda 2026'!$S$2:$S$376,0)),""),"")&amp;IF(COUNTIFS('Agenda 2026'!$Q$2:$Q$376,DATE(2026,10,26),'Agenda 2026'!$M$2:$M$376,1)&gt;=12,CHAR(10)&amp;IFERROR(INDEX('Agenda 2026'!$B$2:$B$376,MATCH(DATE(2026,10,26)*10+12,'Agenda 2026'!$S$2:$S$376,0)),""),"")</f>
        <v>26</v>
      </c>
      <c r="C95" s="58" t="str">
        <f t="array" ref="C95">27&amp;IF(COUNTIFS('Agenda 2026'!$Q$2:$Q$376,DATE(2026,10,27),'Agenda 2026'!$M$2:$M$376,1)&gt;=1,CHAR(10)&amp;IFERROR(INDEX('Agenda 2026'!$B$2:$B$376,MATCH(DATE(2026,10,27)*10+1,'Agenda 2026'!$S$2:$S$376,0)),""),"")&amp;IF(COUNTIFS('Agenda 2026'!$Q$2:$Q$376,DATE(2026,10,27),'Agenda 2026'!$M$2:$M$376,1)&gt;=2,CHAR(10)&amp;IFERROR(INDEX('Agenda 2026'!$B$2:$B$376,MATCH(DATE(2026,10,27)*10+2,'Agenda 2026'!$S$2:$S$376,0)),""),"")&amp;IF(COUNTIFS('Agenda 2026'!$Q$2:$Q$376,DATE(2026,10,27),'Agenda 2026'!$M$2:$M$376,1)&gt;=3,CHAR(10)&amp;IFERROR(INDEX('Agenda 2026'!$B$2:$B$376,MATCH(DATE(2026,10,27)*10+3,'Agenda 2026'!$S$2:$S$376,0)),""),"")&amp;IF(COUNTIFS('Agenda 2026'!$Q$2:$Q$376,DATE(2026,10,27),'Agenda 2026'!$M$2:$M$376,1)&gt;=4,CHAR(10)&amp;IFERROR(INDEX('Agenda 2026'!$B$2:$B$376,MATCH(DATE(2026,10,27)*10+4,'Agenda 2026'!$S$2:$S$376,0)),""),"")&amp;IF(COUNTIFS('Agenda 2026'!$Q$2:$Q$376,DATE(2026,10,27),'Agenda 2026'!$M$2:$M$376,1)&gt;=5,CHAR(10)&amp;IFERROR(INDEX('Agenda 2026'!$B$2:$B$376,MATCH(DATE(2026,10,27)*10+5,'Agenda 2026'!$S$2:$S$376,0)),""),"")&amp;IF(COUNTIFS('Agenda 2026'!$Q$2:$Q$376,DATE(2026,10,27),'Agenda 2026'!$M$2:$M$376,1)&gt;=6,CHAR(10)&amp;IFERROR(INDEX('Agenda 2026'!$B$2:$B$376,MATCH(DATE(2026,10,27)*10+6,'Agenda 2026'!$S$2:$S$376,0)),""),"")&amp;IF(COUNTIFS('Agenda 2026'!$Q$2:$Q$376,DATE(2026,10,27),'Agenda 2026'!$M$2:$M$376,1)&gt;=7,CHAR(10)&amp;IFERROR(INDEX('Agenda 2026'!$B$2:$B$376,MATCH(DATE(2026,10,27)*10+7,'Agenda 2026'!$S$2:$S$376,0)),""),"")&amp;IF(COUNTIFS('Agenda 2026'!$Q$2:$Q$376,DATE(2026,10,27),'Agenda 2026'!$M$2:$M$376,1)&gt;=8,CHAR(10)&amp;IFERROR(INDEX('Agenda 2026'!$B$2:$B$376,MATCH(DATE(2026,10,27)*10+8,'Agenda 2026'!$S$2:$S$376,0)),""),"")&amp;IF(COUNTIFS('Agenda 2026'!$Q$2:$Q$376,DATE(2026,10,27),'Agenda 2026'!$M$2:$M$376,1)&gt;=9,CHAR(10)&amp;IFERROR(INDEX('Agenda 2026'!$B$2:$B$376,MATCH(DATE(2026,10,27)*10+9,'Agenda 2026'!$S$2:$S$376,0)),""),"")&amp;IF(COUNTIFS('Agenda 2026'!$Q$2:$Q$376,DATE(2026,10,27),'Agenda 2026'!$M$2:$M$376,1)&gt;=10,CHAR(10)&amp;IFERROR(INDEX('Agenda 2026'!$B$2:$B$376,MATCH(DATE(2026,10,27)*10+10,'Agenda 2026'!$S$2:$S$376,0)),""),"")&amp;IF(COUNTIFS('Agenda 2026'!$Q$2:$Q$376,DATE(2026,10,27),'Agenda 2026'!$M$2:$M$376,1)&gt;=11,CHAR(10)&amp;IFERROR(INDEX('Agenda 2026'!$B$2:$B$376,MATCH(DATE(2026,10,27)*10+11,'Agenda 2026'!$S$2:$S$376,0)),""),"")&amp;IF(COUNTIFS('Agenda 2026'!$Q$2:$Q$376,DATE(2026,10,27),'Agenda 2026'!$M$2:$M$376,1)&gt;=12,CHAR(10)&amp;IFERROR(INDEX('Agenda 2026'!$B$2:$B$376,MATCH(DATE(2026,10,27)*10+12,'Agenda 2026'!$S$2:$S$376,0)),""),"")</f>
        <v>27</v>
      </c>
      <c r="D95" s="58" t="str">
        <f t="array" ref="D95">28&amp;IF(COUNTIFS('Agenda 2026'!$Q$2:$Q$376,DATE(2026,10,28),'Agenda 2026'!$M$2:$M$376,1)&gt;=1,CHAR(10)&amp;IFERROR(INDEX('Agenda 2026'!$B$2:$B$376,MATCH(DATE(2026,10,28)*10+1,'Agenda 2026'!$S$2:$S$376,0)),""),"")&amp;IF(COUNTIFS('Agenda 2026'!$Q$2:$Q$376,DATE(2026,10,28),'Agenda 2026'!$M$2:$M$376,1)&gt;=2,CHAR(10)&amp;IFERROR(INDEX('Agenda 2026'!$B$2:$B$376,MATCH(DATE(2026,10,28)*10+2,'Agenda 2026'!$S$2:$S$376,0)),""),"")&amp;IF(COUNTIFS('Agenda 2026'!$Q$2:$Q$376,DATE(2026,10,28),'Agenda 2026'!$M$2:$M$376,1)&gt;=3,CHAR(10)&amp;IFERROR(INDEX('Agenda 2026'!$B$2:$B$376,MATCH(DATE(2026,10,28)*10+3,'Agenda 2026'!$S$2:$S$376,0)),""),"")&amp;IF(COUNTIFS('Agenda 2026'!$Q$2:$Q$376,DATE(2026,10,28),'Agenda 2026'!$M$2:$M$376,1)&gt;=4,CHAR(10)&amp;IFERROR(INDEX('Agenda 2026'!$B$2:$B$376,MATCH(DATE(2026,10,28)*10+4,'Agenda 2026'!$S$2:$S$376,0)),""),"")&amp;IF(COUNTIFS('Agenda 2026'!$Q$2:$Q$376,DATE(2026,10,28),'Agenda 2026'!$M$2:$M$376,1)&gt;=5,CHAR(10)&amp;IFERROR(INDEX('Agenda 2026'!$B$2:$B$376,MATCH(DATE(2026,10,28)*10+5,'Agenda 2026'!$S$2:$S$376,0)),""),"")&amp;IF(COUNTIFS('Agenda 2026'!$Q$2:$Q$376,DATE(2026,10,28),'Agenda 2026'!$M$2:$M$376,1)&gt;=6,CHAR(10)&amp;IFERROR(INDEX('Agenda 2026'!$B$2:$B$376,MATCH(DATE(2026,10,28)*10+6,'Agenda 2026'!$S$2:$S$376,0)),""),"")&amp;IF(COUNTIFS('Agenda 2026'!$Q$2:$Q$376,DATE(2026,10,28),'Agenda 2026'!$M$2:$M$376,1)&gt;=7,CHAR(10)&amp;IFERROR(INDEX('Agenda 2026'!$B$2:$B$376,MATCH(DATE(2026,10,28)*10+7,'Agenda 2026'!$S$2:$S$376,0)),""),"")&amp;IF(COUNTIFS('Agenda 2026'!$Q$2:$Q$376,DATE(2026,10,28),'Agenda 2026'!$M$2:$M$376,1)&gt;=8,CHAR(10)&amp;IFERROR(INDEX('Agenda 2026'!$B$2:$B$376,MATCH(DATE(2026,10,28)*10+8,'Agenda 2026'!$S$2:$S$376,0)),""),"")&amp;IF(COUNTIFS('Agenda 2026'!$Q$2:$Q$376,DATE(2026,10,28),'Agenda 2026'!$M$2:$M$376,1)&gt;=9,CHAR(10)&amp;IFERROR(INDEX('Agenda 2026'!$B$2:$B$376,MATCH(DATE(2026,10,28)*10+9,'Agenda 2026'!$S$2:$S$376,0)),""),"")&amp;IF(COUNTIFS('Agenda 2026'!$Q$2:$Q$376,DATE(2026,10,28),'Agenda 2026'!$M$2:$M$376,1)&gt;=10,CHAR(10)&amp;IFERROR(INDEX('Agenda 2026'!$B$2:$B$376,MATCH(DATE(2026,10,28)*10+10,'Agenda 2026'!$S$2:$S$376,0)),""),"")&amp;IF(COUNTIFS('Agenda 2026'!$Q$2:$Q$376,DATE(2026,10,28),'Agenda 2026'!$M$2:$M$376,1)&gt;=11,CHAR(10)&amp;IFERROR(INDEX('Agenda 2026'!$B$2:$B$376,MATCH(DATE(2026,10,28)*10+11,'Agenda 2026'!$S$2:$S$376,0)),""),"")&amp;IF(COUNTIFS('Agenda 2026'!$Q$2:$Q$376,DATE(2026,10,28),'Agenda 2026'!$M$2:$M$376,1)&gt;=12,CHAR(10)&amp;IFERROR(INDEX('Agenda 2026'!$B$2:$B$376,MATCH(DATE(2026,10,28)*10+12,'Agenda 2026'!$S$2:$S$376,0)),""),"")</f>
        <v>28</v>
      </c>
      <c r="E95" s="58" t="str">
        <f t="array" ref="E95">29&amp;IF(COUNTIFS('Agenda 2026'!$Q$2:$Q$376,DATE(2026,10,29),'Agenda 2026'!$M$2:$M$376,1)&gt;=1,CHAR(10)&amp;IFERROR(INDEX('Agenda 2026'!$B$2:$B$376,MATCH(DATE(2026,10,29)*10+1,'Agenda 2026'!$S$2:$S$376,0)),""),"")&amp;IF(COUNTIFS('Agenda 2026'!$Q$2:$Q$376,DATE(2026,10,29),'Agenda 2026'!$M$2:$M$376,1)&gt;=2,CHAR(10)&amp;IFERROR(INDEX('Agenda 2026'!$B$2:$B$376,MATCH(DATE(2026,10,29)*10+2,'Agenda 2026'!$S$2:$S$376,0)),""),"")&amp;IF(COUNTIFS('Agenda 2026'!$Q$2:$Q$376,DATE(2026,10,29),'Agenda 2026'!$M$2:$M$376,1)&gt;=3,CHAR(10)&amp;IFERROR(INDEX('Agenda 2026'!$B$2:$B$376,MATCH(DATE(2026,10,29)*10+3,'Agenda 2026'!$S$2:$S$376,0)),""),"")&amp;IF(COUNTIFS('Agenda 2026'!$Q$2:$Q$376,DATE(2026,10,29),'Agenda 2026'!$M$2:$M$376,1)&gt;=4,CHAR(10)&amp;IFERROR(INDEX('Agenda 2026'!$B$2:$B$376,MATCH(DATE(2026,10,29)*10+4,'Agenda 2026'!$S$2:$S$376,0)),""),"")&amp;IF(COUNTIFS('Agenda 2026'!$Q$2:$Q$376,DATE(2026,10,29),'Agenda 2026'!$M$2:$M$376,1)&gt;=5,CHAR(10)&amp;IFERROR(INDEX('Agenda 2026'!$B$2:$B$376,MATCH(DATE(2026,10,29)*10+5,'Agenda 2026'!$S$2:$S$376,0)),""),"")&amp;IF(COUNTIFS('Agenda 2026'!$Q$2:$Q$376,DATE(2026,10,29),'Agenda 2026'!$M$2:$M$376,1)&gt;=6,CHAR(10)&amp;IFERROR(INDEX('Agenda 2026'!$B$2:$B$376,MATCH(DATE(2026,10,29)*10+6,'Agenda 2026'!$S$2:$S$376,0)),""),"")&amp;IF(COUNTIFS('Agenda 2026'!$Q$2:$Q$376,DATE(2026,10,29),'Agenda 2026'!$M$2:$M$376,1)&gt;=7,CHAR(10)&amp;IFERROR(INDEX('Agenda 2026'!$B$2:$B$376,MATCH(DATE(2026,10,29)*10+7,'Agenda 2026'!$S$2:$S$376,0)),""),"")&amp;IF(COUNTIFS('Agenda 2026'!$Q$2:$Q$376,DATE(2026,10,29),'Agenda 2026'!$M$2:$M$376,1)&gt;=8,CHAR(10)&amp;IFERROR(INDEX('Agenda 2026'!$B$2:$B$376,MATCH(DATE(2026,10,29)*10+8,'Agenda 2026'!$S$2:$S$376,0)),""),"")&amp;IF(COUNTIFS('Agenda 2026'!$Q$2:$Q$376,DATE(2026,10,29),'Agenda 2026'!$M$2:$M$376,1)&gt;=9,CHAR(10)&amp;IFERROR(INDEX('Agenda 2026'!$B$2:$B$376,MATCH(DATE(2026,10,29)*10+9,'Agenda 2026'!$S$2:$S$376,0)),""),"")&amp;IF(COUNTIFS('Agenda 2026'!$Q$2:$Q$376,DATE(2026,10,29),'Agenda 2026'!$M$2:$M$376,1)&gt;=10,CHAR(10)&amp;IFERROR(INDEX('Agenda 2026'!$B$2:$B$376,MATCH(DATE(2026,10,29)*10+10,'Agenda 2026'!$S$2:$S$376,0)),""),"")&amp;IF(COUNTIFS('Agenda 2026'!$Q$2:$Q$376,DATE(2026,10,29),'Agenda 2026'!$M$2:$M$376,1)&gt;=11,CHAR(10)&amp;IFERROR(INDEX('Agenda 2026'!$B$2:$B$376,MATCH(DATE(2026,10,29)*10+11,'Agenda 2026'!$S$2:$S$376,0)),""),"")&amp;IF(COUNTIFS('Agenda 2026'!$Q$2:$Q$376,DATE(2026,10,29),'Agenda 2026'!$M$2:$M$376,1)&gt;=12,CHAR(10)&amp;IFERROR(INDEX('Agenda 2026'!$B$2:$B$376,MATCH(DATE(2026,10,29)*10+12,'Agenda 2026'!$S$2:$S$376,0)),""),"")</f>
        <v>29</v>
      </c>
      <c r="F95" s="58" t="str">
        <f t="array" ref="F95">30&amp;IF(COUNTIFS('Agenda 2026'!$Q$2:$Q$376,DATE(2026,10,30),'Agenda 2026'!$M$2:$M$376,1)&gt;=1,CHAR(10)&amp;IFERROR(INDEX('Agenda 2026'!$B$2:$B$376,MATCH(DATE(2026,10,30)*10+1,'Agenda 2026'!$S$2:$S$376,0)),""),"")&amp;IF(COUNTIFS('Agenda 2026'!$Q$2:$Q$376,DATE(2026,10,30),'Agenda 2026'!$M$2:$M$376,1)&gt;=2,CHAR(10)&amp;IFERROR(INDEX('Agenda 2026'!$B$2:$B$376,MATCH(DATE(2026,10,30)*10+2,'Agenda 2026'!$S$2:$S$376,0)),""),"")&amp;IF(COUNTIFS('Agenda 2026'!$Q$2:$Q$376,DATE(2026,10,30),'Agenda 2026'!$M$2:$M$376,1)&gt;=3,CHAR(10)&amp;IFERROR(INDEX('Agenda 2026'!$B$2:$B$376,MATCH(DATE(2026,10,30)*10+3,'Agenda 2026'!$S$2:$S$376,0)),""),"")&amp;IF(COUNTIFS('Agenda 2026'!$Q$2:$Q$376,DATE(2026,10,30),'Agenda 2026'!$M$2:$M$376,1)&gt;=4,CHAR(10)&amp;IFERROR(INDEX('Agenda 2026'!$B$2:$B$376,MATCH(DATE(2026,10,30)*10+4,'Agenda 2026'!$S$2:$S$376,0)),""),"")&amp;IF(COUNTIFS('Agenda 2026'!$Q$2:$Q$376,DATE(2026,10,30),'Agenda 2026'!$M$2:$M$376,1)&gt;=5,CHAR(10)&amp;IFERROR(INDEX('Agenda 2026'!$B$2:$B$376,MATCH(DATE(2026,10,30)*10+5,'Agenda 2026'!$S$2:$S$376,0)),""),"")&amp;IF(COUNTIFS('Agenda 2026'!$Q$2:$Q$376,DATE(2026,10,30),'Agenda 2026'!$M$2:$M$376,1)&gt;=6,CHAR(10)&amp;IFERROR(INDEX('Agenda 2026'!$B$2:$B$376,MATCH(DATE(2026,10,30)*10+6,'Agenda 2026'!$S$2:$S$376,0)),""),"")&amp;IF(COUNTIFS('Agenda 2026'!$Q$2:$Q$376,DATE(2026,10,30),'Agenda 2026'!$M$2:$M$376,1)&gt;=7,CHAR(10)&amp;IFERROR(INDEX('Agenda 2026'!$B$2:$B$376,MATCH(DATE(2026,10,30)*10+7,'Agenda 2026'!$S$2:$S$376,0)),""),"")&amp;IF(COUNTIFS('Agenda 2026'!$Q$2:$Q$376,DATE(2026,10,30),'Agenda 2026'!$M$2:$M$376,1)&gt;=8,CHAR(10)&amp;IFERROR(INDEX('Agenda 2026'!$B$2:$B$376,MATCH(DATE(2026,10,30)*10+8,'Agenda 2026'!$S$2:$S$376,0)),""),"")&amp;IF(COUNTIFS('Agenda 2026'!$Q$2:$Q$376,DATE(2026,10,30),'Agenda 2026'!$M$2:$M$376,1)&gt;=9,CHAR(10)&amp;IFERROR(INDEX('Agenda 2026'!$B$2:$B$376,MATCH(DATE(2026,10,30)*10+9,'Agenda 2026'!$S$2:$S$376,0)),""),"")&amp;IF(COUNTIFS('Agenda 2026'!$Q$2:$Q$376,DATE(2026,10,30),'Agenda 2026'!$M$2:$M$376,1)&gt;=10,CHAR(10)&amp;IFERROR(INDEX('Agenda 2026'!$B$2:$B$376,MATCH(DATE(2026,10,30)*10+10,'Agenda 2026'!$S$2:$S$376,0)),""),"")&amp;IF(COUNTIFS('Agenda 2026'!$Q$2:$Q$376,DATE(2026,10,30),'Agenda 2026'!$M$2:$M$376,1)&gt;=11,CHAR(10)&amp;IFERROR(INDEX('Agenda 2026'!$B$2:$B$376,MATCH(DATE(2026,10,30)*10+11,'Agenda 2026'!$S$2:$S$376,0)),""),"")&amp;IF(COUNTIFS('Agenda 2026'!$Q$2:$Q$376,DATE(2026,10,30),'Agenda 2026'!$M$2:$M$376,1)&gt;=12,CHAR(10)&amp;IFERROR(INDEX('Agenda 2026'!$B$2:$B$376,MATCH(DATE(2026,10,30)*10+12,'Agenda 2026'!$S$2:$S$376,0)),""),"")</f>
        <v>30</v>
      </c>
      <c r="G95" s="58" t="str">
        <f t="array" ref="G95">31&amp;IF(COUNTIFS('Agenda 2026'!$Q$2:$Q$376,DATE(2026,10,31),'Agenda 2026'!$M$2:$M$376,1)&gt;=1,CHAR(10)&amp;IFERROR(INDEX('Agenda 2026'!$B$2:$B$376,MATCH(DATE(2026,10,31)*10+1,'Agenda 2026'!$S$2:$S$376,0)),""),"")&amp;IF(COUNTIFS('Agenda 2026'!$Q$2:$Q$376,DATE(2026,10,31),'Agenda 2026'!$M$2:$M$376,1)&gt;=2,CHAR(10)&amp;IFERROR(INDEX('Agenda 2026'!$B$2:$B$376,MATCH(DATE(2026,10,31)*10+2,'Agenda 2026'!$S$2:$S$376,0)),""),"")&amp;IF(COUNTIFS('Agenda 2026'!$Q$2:$Q$376,DATE(2026,10,31),'Agenda 2026'!$M$2:$M$376,1)&gt;=3,CHAR(10)&amp;IFERROR(INDEX('Agenda 2026'!$B$2:$B$376,MATCH(DATE(2026,10,31)*10+3,'Agenda 2026'!$S$2:$S$376,0)),""),"")&amp;IF(COUNTIFS('Agenda 2026'!$Q$2:$Q$376,DATE(2026,10,31),'Agenda 2026'!$M$2:$M$376,1)&gt;=4,CHAR(10)&amp;IFERROR(INDEX('Agenda 2026'!$B$2:$B$376,MATCH(DATE(2026,10,31)*10+4,'Agenda 2026'!$S$2:$S$376,0)),""),"")&amp;IF(COUNTIFS('Agenda 2026'!$Q$2:$Q$376,DATE(2026,10,31),'Agenda 2026'!$M$2:$M$376,1)&gt;=5,CHAR(10)&amp;IFERROR(INDEX('Agenda 2026'!$B$2:$B$376,MATCH(DATE(2026,10,31)*10+5,'Agenda 2026'!$S$2:$S$376,0)),""),"")&amp;IF(COUNTIFS('Agenda 2026'!$Q$2:$Q$376,DATE(2026,10,31),'Agenda 2026'!$M$2:$M$376,1)&gt;=6,CHAR(10)&amp;IFERROR(INDEX('Agenda 2026'!$B$2:$B$376,MATCH(DATE(2026,10,31)*10+6,'Agenda 2026'!$S$2:$S$376,0)),""),"")&amp;IF(COUNTIFS('Agenda 2026'!$Q$2:$Q$376,DATE(2026,10,31),'Agenda 2026'!$M$2:$M$376,1)&gt;=7,CHAR(10)&amp;IFERROR(INDEX('Agenda 2026'!$B$2:$B$376,MATCH(DATE(2026,10,31)*10+7,'Agenda 2026'!$S$2:$S$376,0)),""),"")&amp;IF(COUNTIFS('Agenda 2026'!$Q$2:$Q$376,DATE(2026,10,31),'Agenda 2026'!$M$2:$M$376,1)&gt;=8,CHAR(10)&amp;IFERROR(INDEX('Agenda 2026'!$B$2:$B$376,MATCH(DATE(2026,10,31)*10+8,'Agenda 2026'!$S$2:$S$376,0)),""),"")&amp;IF(COUNTIFS('Agenda 2026'!$Q$2:$Q$376,DATE(2026,10,31),'Agenda 2026'!$M$2:$M$376,1)&gt;=9,CHAR(10)&amp;IFERROR(INDEX('Agenda 2026'!$B$2:$B$376,MATCH(DATE(2026,10,31)*10+9,'Agenda 2026'!$S$2:$S$376,0)),""),"")&amp;IF(COUNTIFS('Agenda 2026'!$Q$2:$Q$376,DATE(2026,10,31),'Agenda 2026'!$M$2:$M$376,1)&gt;=10,CHAR(10)&amp;IFERROR(INDEX('Agenda 2026'!$B$2:$B$376,MATCH(DATE(2026,10,31)*10+10,'Agenda 2026'!$S$2:$S$376,0)),""),"")&amp;IF(COUNTIFS('Agenda 2026'!$Q$2:$Q$376,DATE(2026,10,31),'Agenda 2026'!$M$2:$M$376,1)&gt;=11,CHAR(10)&amp;IFERROR(INDEX('Agenda 2026'!$B$2:$B$376,MATCH(DATE(2026,10,31)*10+11,'Agenda 2026'!$S$2:$S$376,0)),""),"")&amp;IF(COUNTIFS('Agenda 2026'!$Q$2:$Q$376,DATE(2026,10,31),'Agenda 2026'!$M$2:$M$376,1)&gt;=12,CHAR(10)&amp;IFERROR(INDEX('Agenda 2026'!$B$2:$B$376,MATCH(DATE(2026,10,31)*10+12,'Agenda 2026'!$S$2:$S$376,0)),""),"")</f>
        <v>31</v>
      </c>
      <c r="H95" s="57"/>
    </row>
    <row r="96" spans="1:8" ht="21.75" customHeight="1" x14ac:dyDescent="0.35">
      <c r="A96" s="17"/>
      <c r="B96" s="57"/>
      <c r="C96" s="57"/>
      <c r="D96" s="57"/>
      <c r="E96" s="57"/>
      <c r="F96" s="57"/>
      <c r="G96" s="57"/>
      <c r="H96" s="57"/>
    </row>
    <row r="97" spans="1:8" ht="15.75" customHeight="1" x14ac:dyDescent="0.35">
      <c r="A97" s="17"/>
      <c r="B97" s="17"/>
      <c r="C97" s="17"/>
      <c r="D97" s="17"/>
      <c r="E97" s="17"/>
      <c r="F97" s="17"/>
      <c r="G97" s="17"/>
      <c r="H97" s="17"/>
    </row>
    <row r="98" spans="1:8" ht="21.75" customHeight="1" x14ac:dyDescent="0.35">
      <c r="A98" s="17"/>
      <c r="B98" s="10" t="s">
        <v>74</v>
      </c>
      <c r="C98" s="10"/>
      <c r="D98" s="10"/>
      <c r="E98" s="10"/>
      <c r="F98" s="10"/>
      <c r="G98" s="10"/>
      <c r="H98" s="10"/>
    </row>
    <row r="99" spans="1:8" ht="15.75" customHeight="1" x14ac:dyDescent="0.35">
      <c r="A99" s="17"/>
      <c r="B99" s="56" t="s">
        <v>58</v>
      </c>
      <c r="C99" s="56" t="s">
        <v>59</v>
      </c>
      <c r="D99" s="56" t="s">
        <v>60</v>
      </c>
      <c r="E99" s="56" t="s">
        <v>61</v>
      </c>
      <c r="F99" s="56" t="s">
        <v>62</v>
      </c>
      <c r="G99" s="56" t="s">
        <v>63</v>
      </c>
      <c r="H99" s="56" t="s">
        <v>64</v>
      </c>
    </row>
    <row r="100" spans="1:8" ht="33.75" customHeight="1" x14ac:dyDescent="0.35">
      <c r="A100" s="17"/>
      <c r="B100" s="57"/>
      <c r="C100" s="57"/>
      <c r="D100" s="57"/>
      <c r="E100" s="57"/>
      <c r="F100" s="57"/>
      <c r="G100" s="57"/>
      <c r="H100" s="58" t="str">
        <f t="array" ref="H100">1&amp;IF(COUNTIFS('Agenda 2026'!$Q$2:$Q$376,DATE(2026,11,1),'Agenda 2026'!$M$2:$M$376,1)&gt;=1,CHAR(10)&amp;IFERROR(INDEX('Agenda 2026'!$B$2:$B$376,MATCH(DATE(2026,11,1)*10+1,'Agenda 2026'!$S$2:$S$376,0)),""),"")&amp;IF(COUNTIFS('Agenda 2026'!$Q$2:$Q$376,DATE(2026,11,1),'Agenda 2026'!$M$2:$M$376,1)&gt;=2,CHAR(10)&amp;IFERROR(INDEX('Agenda 2026'!$B$2:$B$376,MATCH(DATE(2026,11,1)*10+2,'Agenda 2026'!$S$2:$S$376,0)),""),"")&amp;IF(COUNTIFS('Agenda 2026'!$Q$2:$Q$376,DATE(2026,11,1),'Agenda 2026'!$M$2:$M$376,1)&gt;=3,CHAR(10)&amp;IFERROR(INDEX('Agenda 2026'!$B$2:$B$376,MATCH(DATE(2026,11,1)*10+3,'Agenda 2026'!$S$2:$S$376,0)),""),"")&amp;IF(COUNTIFS('Agenda 2026'!$Q$2:$Q$376,DATE(2026,11,1),'Agenda 2026'!$M$2:$M$376,1)&gt;=4,CHAR(10)&amp;IFERROR(INDEX('Agenda 2026'!$B$2:$B$376,MATCH(DATE(2026,11,1)*10+4,'Agenda 2026'!$S$2:$S$376,0)),""),"")&amp;IF(COUNTIFS('Agenda 2026'!$Q$2:$Q$376,DATE(2026,11,1),'Agenda 2026'!$M$2:$M$376,1)&gt;=5,CHAR(10)&amp;IFERROR(INDEX('Agenda 2026'!$B$2:$B$376,MATCH(DATE(2026,11,1)*10+5,'Agenda 2026'!$S$2:$S$376,0)),""),"")&amp;IF(COUNTIFS('Agenda 2026'!$Q$2:$Q$376,DATE(2026,11,1),'Agenda 2026'!$M$2:$M$376,1)&gt;=6,CHAR(10)&amp;IFERROR(INDEX('Agenda 2026'!$B$2:$B$376,MATCH(DATE(2026,11,1)*10+6,'Agenda 2026'!$S$2:$S$376,0)),""),"")&amp;IF(COUNTIFS('Agenda 2026'!$Q$2:$Q$376,DATE(2026,11,1),'Agenda 2026'!$M$2:$M$376,1)&gt;=7,CHAR(10)&amp;IFERROR(INDEX('Agenda 2026'!$B$2:$B$376,MATCH(DATE(2026,11,1)*10+7,'Agenda 2026'!$S$2:$S$376,0)),""),"")&amp;IF(COUNTIFS('Agenda 2026'!$Q$2:$Q$376,DATE(2026,11,1),'Agenda 2026'!$M$2:$M$376,1)&gt;=8,CHAR(10)&amp;IFERROR(INDEX('Agenda 2026'!$B$2:$B$376,MATCH(DATE(2026,11,1)*10+8,'Agenda 2026'!$S$2:$S$376,0)),""),"")&amp;IF(COUNTIFS('Agenda 2026'!$Q$2:$Q$376,DATE(2026,11,1),'Agenda 2026'!$M$2:$M$376,1)&gt;=9,CHAR(10)&amp;IFERROR(INDEX('Agenda 2026'!$B$2:$B$376,MATCH(DATE(2026,11,1)*10+9,'Agenda 2026'!$S$2:$S$376,0)),""),"")&amp;IF(COUNTIFS('Agenda 2026'!$Q$2:$Q$376,DATE(2026,11,1),'Agenda 2026'!$M$2:$M$376,1)&gt;=10,CHAR(10)&amp;IFERROR(INDEX('Agenda 2026'!$B$2:$B$376,MATCH(DATE(2026,11,1)*10+10,'Agenda 2026'!$S$2:$S$376,0)),""),"")&amp;IF(COUNTIFS('Agenda 2026'!$Q$2:$Q$376,DATE(2026,11,1),'Agenda 2026'!$M$2:$M$376,1)&gt;=11,CHAR(10)&amp;IFERROR(INDEX('Agenda 2026'!$B$2:$B$376,MATCH(DATE(2026,11,1)*10+11,'Agenda 2026'!$S$2:$S$376,0)),""),"")&amp;IF(COUNTIFS('Agenda 2026'!$Q$2:$Q$376,DATE(2026,11,1),'Agenda 2026'!$M$2:$M$376,1)&gt;=12,CHAR(10)&amp;IFERROR(INDEX('Agenda 2026'!$B$2:$B$376,MATCH(DATE(2026,11,1)*10+12,'Agenda 2026'!$S$2:$S$376,0)),""),"")</f>
        <v>1</v>
      </c>
    </row>
    <row r="101" spans="1:8" ht="45.75" customHeight="1" x14ac:dyDescent="0.35">
      <c r="A101" s="17"/>
      <c r="B101" s="58" t="str">
        <f t="array" ref="B101">2&amp;IF(COUNTIFS('Agenda 2026'!$Q$2:$Q$376,DATE(2026,11,2),'Agenda 2026'!$M$2:$M$376,1)&gt;=1,CHAR(10)&amp;IFERROR(INDEX('Agenda 2026'!$B$2:$B$376,MATCH(DATE(2026,11,2)*10+1,'Agenda 2026'!$S$2:$S$376,0)),""),"")&amp;IF(COUNTIFS('Agenda 2026'!$Q$2:$Q$376,DATE(2026,11,2),'Agenda 2026'!$M$2:$M$376,1)&gt;=2,CHAR(10)&amp;IFERROR(INDEX('Agenda 2026'!$B$2:$B$376,MATCH(DATE(2026,11,2)*10+2,'Agenda 2026'!$S$2:$S$376,0)),""),"")&amp;IF(COUNTIFS('Agenda 2026'!$Q$2:$Q$376,DATE(2026,11,2),'Agenda 2026'!$M$2:$M$376,1)&gt;=3,CHAR(10)&amp;IFERROR(INDEX('Agenda 2026'!$B$2:$B$376,MATCH(DATE(2026,11,2)*10+3,'Agenda 2026'!$S$2:$S$376,0)),""),"")&amp;IF(COUNTIFS('Agenda 2026'!$Q$2:$Q$376,DATE(2026,11,2),'Agenda 2026'!$M$2:$M$376,1)&gt;=4,CHAR(10)&amp;IFERROR(INDEX('Agenda 2026'!$B$2:$B$376,MATCH(DATE(2026,11,2)*10+4,'Agenda 2026'!$S$2:$S$376,0)),""),"")&amp;IF(COUNTIFS('Agenda 2026'!$Q$2:$Q$376,DATE(2026,11,2),'Agenda 2026'!$M$2:$M$376,1)&gt;=5,CHAR(10)&amp;IFERROR(INDEX('Agenda 2026'!$B$2:$B$376,MATCH(DATE(2026,11,2)*10+5,'Agenda 2026'!$S$2:$S$376,0)),""),"")&amp;IF(COUNTIFS('Agenda 2026'!$Q$2:$Q$376,DATE(2026,11,2),'Agenda 2026'!$M$2:$M$376,1)&gt;=6,CHAR(10)&amp;IFERROR(INDEX('Agenda 2026'!$B$2:$B$376,MATCH(DATE(2026,11,2)*10+6,'Agenda 2026'!$S$2:$S$376,0)),""),"")&amp;IF(COUNTIFS('Agenda 2026'!$Q$2:$Q$376,DATE(2026,11,2),'Agenda 2026'!$M$2:$M$376,1)&gt;=7,CHAR(10)&amp;IFERROR(INDEX('Agenda 2026'!$B$2:$B$376,MATCH(DATE(2026,11,2)*10+7,'Agenda 2026'!$S$2:$S$376,0)),""),"")&amp;IF(COUNTIFS('Agenda 2026'!$Q$2:$Q$376,DATE(2026,11,2),'Agenda 2026'!$M$2:$M$376,1)&gt;=8,CHAR(10)&amp;IFERROR(INDEX('Agenda 2026'!$B$2:$B$376,MATCH(DATE(2026,11,2)*10+8,'Agenda 2026'!$S$2:$S$376,0)),""),"")&amp;IF(COUNTIFS('Agenda 2026'!$Q$2:$Q$376,DATE(2026,11,2),'Agenda 2026'!$M$2:$M$376,1)&gt;=9,CHAR(10)&amp;IFERROR(INDEX('Agenda 2026'!$B$2:$B$376,MATCH(DATE(2026,11,2)*10+9,'Agenda 2026'!$S$2:$S$376,0)),""),"")&amp;IF(COUNTIFS('Agenda 2026'!$Q$2:$Q$376,DATE(2026,11,2),'Agenda 2026'!$M$2:$M$376,1)&gt;=10,CHAR(10)&amp;IFERROR(INDEX('Agenda 2026'!$B$2:$B$376,MATCH(DATE(2026,11,2)*10+10,'Agenda 2026'!$S$2:$S$376,0)),""),"")&amp;IF(COUNTIFS('Agenda 2026'!$Q$2:$Q$376,DATE(2026,11,2),'Agenda 2026'!$M$2:$M$376,1)&gt;=11,CHAR(10)&amp;IFERROR(INDEX('Agenda 2026'!$B$2:$B$376,MATCH(DATE(2026,11,2)*10+11,'Agenda 2026'!$S$2:$S$376,0)),""),"")&amp;IF(COUNTIFS('Agenda 2026'!$Q$2:$Q$376,DATE(2026,11,2),'Agenda 2026'!$M$2:$M$376,1)&gt;=12,CHAR(10)&amp;IFERROR(INDEX('Agenda 2026'!$B$2:$B$376,MATCH(DATE(2026,11,2)*10+12,'Agenda 2026'!$S$2:$S$376,0)),""),"")</f>
        <v>2</v>
      </c>
      <c r="C101" s="58" t="str">
        <f t="array" ref="C101">3&amp;IF(COUNTIFS('Agenda 2026'!$Q$2:$Q$376,DATE(2026,11,3),'Agenda 2026'!$M$2:$M$376,1)&gt;=1,CHAR(10)&amp;IFERROR(INDEX('Agenda 2026'!$B$2:$B$376,MATCH(DATE(2026,11,3)*10+1,'Agenda 2026'!$S$2:$S$376,0)),""),"")&amp;IF(COUNTIFS('Agenda 2026'!$Q$2:$Q$376,DATE(2026,11,3),'Agenda 2026'!$M$2:$M$376,1)&gt;=2,CHAR(10)&amp;IFERROR(INDEX('Agenda 2026'!$B$2:$B$376,MATCH(DATE(2026,11,3)*10+2,'Agenda 2026'!$S$2:$S$376,0)),""),"")&amp;IF(COUNTIFS('Agenda 2026'!$Q$2:$Q$376,DATE(2026,11,3),'Agenda 2026'!$M$2:$M$376,1)&gt;=3,CHAR(10)&amp;IFERROR(INDEX('Agenda 2026'!$B$2:$B$376,MATCH(DATE(2026,11,3)*10+3,'Agenda 2026'!$S$2:$S$376,0)),""),"")&amp;IF(COUNTIFS('Agenda 2026'!$Q$2:$Q$376,DATE(2026,11,3),'Agenda 2026'!$M$2:$M$376,1)&gt;=4,CHAR(10)&amp;IFERROR(INDEX('Agenda 2026'!$B$2:$B$376,MATCH(DATE(2026,11,3)*10+4,'Agenda 2026'!$S$2:$S$376,0)),""),"")&amp;IF(COUNTIFS('Agenda 2026'!$Q$2:$Q$376,DATE(2026,11,3),'Agenda 2026'!$M$2:$M$376,1)&gt;=5,CHAR(10)&amp;IFERROR(INDEX('Agenda 2026'!$B$2:$B$376,MATCH(DATE(2026,11,3)*10+5,'Agenda 2026'!$S$2:$S$376,0)),""),"")&amp;IF(COUNTIFS('Agenda 2026'!$Q$2:$Q$376,DATE(2026,11,3),'Agenda 2026'!$M$2:$M$376,1)&gt;=6,CHAR(10)&amp;IFERROR(INDEX('Agenda 2026'!$B$2:$B$376,MATCH(DATE(2026,11,3)*10+6,'Agenda 2026'!$S$2:$S$376,0)),""),"")&amp;IF(COUNTIFS('Agenda 2026'!$Q$2:$Q$376,DATE(2026,11,3),'Agenda 2026'!$M$2:$M$376,1)&gt;=7,CHAR(10)&amp;IFERROR(INDEX('Agenda 2026'!$B$2:$B$376,MATCH(DATE(2026,11,3)*10+7,'Agenda 2026'!$S$2:$S$376,0)),""),"")&amp;IF(COUNTIFS('Agenda 2026'!$Q$2:$Q$376,DATE(2026,11,3),'Agenda 2026'!$M$2:$M$376,1)&gt;=8,CHAR(10)&amp;IFERROR(INDEX('Agenda 2026'!$B$2:$B$376,MATCH(DATE(2026,11,3)*10+8,'Agenda 2026'!$S$2:$S$376,0)),""),"")&amp;IF(COUNTIFS('Agenda 2026'!$Q$2:$Q$376,DATE(2026,11,3),'Agenda 2026'!$M$2:$M$376,1)&gt;=9,CHAR(10)&amp;IFERROR(INDEX('Agenda 2026'!$B$2:$B$376,MATCH(DATE(2026,11,3)*10+9,'Agenda 2026'!$S$2:$S$376,0)),""),"")&amp;IF(COUNTIFS('Agenda 2026'!$Q$2:$Q$376,DATE(2026,11,3),'Agenda 2026'!$M$2:$M$376,1)&gt;=10,CHAR(10)&amp;IFERROR(INDEX('Agenda 2026'!$B$2:$B$376,MATCH(DATE(2026,11,3)*10+10,'Agenda 2026'!$S$2:$S$376,0)),""),"")&amp;IF(COUNTIFS('Agenda 2026'!$Q$2:$Q$376,DATE(2026,11,3),'Agenda 2026'!$M$2:$M$376,1)&gt;=11,CHAR(10)&amp;IFERROR(INDEX('Agenda 2026'!$B$2:$B$376,MATCH(DATE(2026,11,3)*10+11,'Agenda 2026'!$S$2:$S$376,0)),""),"")&amp;IF(COUNTIFS('Agenda 2026'!$Q$2:$Q$376,DATE(2026,11,3),'Agenda 2026'!$M$2:$M$376,1)&gt;=12,CHAR(10)&amp;IFERROR(INDEX('Agenda 2026'!$B$2:$B$376,MATCH(DATE(2026,11,3)*10+12,'Agenda 2026'!$S$2:$S$376,0)),""),"")</f>
        <v>3</v>
      </c>
      <c r="D101" s="58" t="str">
        <f t="array" ref="D101">4&amp;IF(COUNTIFS('Agenda 2026'!$Q$2:$Q$376,DATE(2026,11,4),'Agenda 2026'!$M$2:$M$376,1)&gt;=1,CHAR(10)&amp;IFERROR(INDEX('Agenda 2026'!$B$2:$B$376,MATCH(DATE(2026,11,4)*10+1,'Agenda 2026'!$S$2:$S$376,0)),""),"")&amp;IF(COUNTIFS('Agenda 2026'!$Q$2:$Q$376,DATE(2026,11,4),'Agenda 2026'!$M$2:$M$376,1)&gt;=2,CHAR(10)&amp;IFERROR(INDEX('Agenda 2026'!$B$2:$B$376,MATCH(DATE(2026,11,4)*10+2,'Agenda 2026'!$S$2:$S$376,0)),""),"")&amp;IF(COUNTIFS('Agenda 2026'!$Q$2:$Q$376,DATE(2026,11,4),'Agenda 2026'!$M$2:$M$376,1)&gt;=3,CHAR(10)&amp;IFERROR(INDEX('Agenda 2026'!$B$2:$B$376,MATCH(DATE(2026,11,4)*10+3,'Agenda 2026'!$S$2:$S$376,0)),""),"")&amp;IF(COUNTIFS('Agenda 2026'!$Q$2:$Q$376,DATE(2026,11,4),'Agenda 2026'!$M$2:$M$376,1)&gt;=4,CHAR(10)&amp;IFERROR(INDEX('Agenda 2026'!$B$2:$B$376,MATCH(DATE(2026,11,4)*10+4,'Agenda 2026'!$S$2:$S$376,0)),""),"")&amp;IF(COUNTIFS('Agenda 2026'!$Q$2:$Q$376,DATE(2026,11,4),'Agenda 2026'!$M$2:$M$376,1)&gt;=5,CHAR(10)&amp;IFERROR(INDEX('Agenda 2026'!$B$2:$B$376,MATCH(DATE(2026,11,4)*10+5,'Agenda 2026'!$S$2:$S$376,0)),""),"")&amp;IF(COUNTIFS('Agenda 2026'!$Q$2:$Q$376,DATE(2026,11,4),'Agenda 2026'!$M$2:$M$376,1)&gt;=6,CHAR(10)&amp;IFERROR(INDEX('Agenda 2026'!$B$2:$B$376,MATCH(DATE(2026,11,4)*10+6,'Agenda 2026'!$S$2:$S$376,0)),""),"")&amp;IF(COUNTIFS('Agenda 2026'!$Q$2:$Q$376,DATE(2026,11,4),'Agenda 2026'!$M$2:$M$376,1)&gt;=7,CHAR(10)&amp;IFERROR(INDEX('Agenda 2026'!$B$2:$B$376,MATCH(DATE(2026,11,4)*10+7,'Agenda 2026'!$S$2:$S$376,0)),""),"")&amp;IF(COUNTIFS('Agenda 2026'!$Q$2:$Q$376,DATE(2026,11,4),'Agenda 2026'!$M$2:$M$376,1)&gt;=8,CHAR(10)&amp;IFERROR(INDEX('Agenda 2026'!$B$2:$B$376,MATCH(DATE(2026,11,4)*10+8,'Agenda 2026'!$S$2:$S$376,0)),""),"")&amp;IF(COUNTIFS('Agenda 2026'!$Q$2:$Q$376,DATE(2026,11,4),'Agenda 2026'!$M$2:$M$376,1)&gt;=9,CHAR(10)&amp;IFERROR(INDEX('Agenda 2026'!$B$2:$B$376,MATCH(DATE(2026,11,4)*10+9,'Agenda 2026'!$S$2:$S$376,0)),""),"")&amp;IF(COUNTIFS('Agenda 2026'!$Q$2:$Q$376,DATE(2026,11,4),'Agenda 2026'!$M$2:$M$376,1)&gt;=10,CHAR(10)&amp;IFERROR(INDEX('Agenda 2026'!$B$2:$B$376,MATCH(DATE(2026,11,4)*10+10,'Agenda 2026'!$S$2:$S$376,0)),""),"")&amp;IF(COUNTIFS('Agenda 2026'!$Q$2:$Q$376,DATE(2026,11,4),'Agenda 2026'!$M$2:$M$376,1)&gt;=11,CHAR(10)&amp;IFERROR(INDEX('Agenda 2026'!$B$2:$B$376,MATCH(DATE(2026,11,4)*10+11,'Agenda 2026'!$S$2:$S$376,0)),""),"")&amp;IF(COUNTIFS('Agenda 2026'!$Q$2:$Q$376,DATE(2026,11,4),'Agenda 2026'!$M$2:$M$376,1)&gt;=12,CHAR(10)&amp;IFERROR(INDEX('Agenda 2026'!$B$2:$B$376,MATCH(DATE(2026,11,4)*10+12,'Agenda 2026'!$S$2:$S$376,0)),""),"")</f>
        <v>4</v>
      </c>
      <c r="E101" s="58" t="str">
        <f t="array" ref="E101">5&amp;IF(COUNTIFS('Agenda 2026'!$Q$2:$Q$376,DATE(2026,11,5),'Agenda 2026'!$M$2:$M$376,1)&gt;=1,CHAR(10)&amp;IFERROR(INDEX('Agenda 2026'!$B$2:$B$376,MATCH(DATE(2026,11,5)*10+1,'Agenda 2026'!$S$2:$S$376,0)),""),"")&amp;IF(COUNTIFS('Agenda 2026'!$Q$2:$Q$376,DATE(2026,11,5),'Agenda 2026'!$M$2:$M$376,1)&gt;=2,CHAR(10)&amp;IFERROR(INDEX('Agenda 2026'!$B$2:$B$376,MATCH(DATE(2026,11,5)*10+2,'Agenda 2026'!$S$2:$S$376,0)),""),"")&amp;IF(COUNTIFS('Agenda 2026'!$Q$2:$Q$376,DATE(2026,11,5),'Agenda 2026'!$M$2:$M$376,1)&gt;=3,CHAR(10)&amp;IFERROR(INDEX('Agenda 2026'!$B$2:$B$376,MATCH(DATE(2026,11,5)*10+3,'Agenda 2026'!$S$2:$S$376,0)),""),"")&amp;IF(COUNTIFS('Agenda 2026'!$Q$2:$Q$376,DATE(2026,11,5),'Agenda 2026'!$M$2:$M$376,1)&gt;=4,CHAR(10)&amp;IFERROR(INDEX('Agenda 2026'!$B$2:$B$376,MATCH(DATE(2026,11,5)*10+4,'Agenda 2026'!$S$2:$S$376,0)),""),"")&amp;IF(COUNTIFS('Agenda 2026'!$Q$2:$Q$376,DATE(2026,11,5),'Agenda 2026'!$M$2:$M$376,1)&gt;=5,CHAR(10)&amp;IFERROR(INDEX('Agenda 2026'!$B$2:$B$376,MATCH(DATE(2026,11,5)*10+5,'Agenda 2026'!$S$2:$S$376,0)),""),"")&amp;IF(COUNTIFS('Agenda 2026'!$Q$2:$Q$376,DATE(2026,11,5),'Agenda 2026'!$M$2:$M$376,1)&gt;=6,CHAR(10)&amp;IFERROR(INDEX('Agenda 2026'!$B$2:$B$376,MATCH(DATE(2026,11,5)*10+6,'Agenda 2026'!$S$2:$S$376,0)),""),"")&amp;IF(COUNTIFS('Agenda 2026'!$Q$2:$Q$376,DATE(2026,11,5),'Agenda 2026'!$M$2:$M$376,1)&gt;=7,CHAR(10)&amp;IFERROR(INDEX('Agenda 2026'!$B$2:$B$376,MATCH(DATE(2026,11,5)*10+7,'Agenda 2026'!$S$2:$S$376,0)),""),"")&amp;IF(COUNTIFS('Agenda 2026'!$Q$2:$Q$376,DATE(2026,11,5),'Agenda 2026'!$M$2:$M$376,1)&gt;=8,CHAR(10)&amp;IFERROR(INDEX('Agenda 2026'!$B$2:$B$376,MATCH(DATE(2026,11,5)*10+8,'Agenda 2026'!$S$2:$S$376,0)),""),"")&amp;IF(COUNTIFS('Agenda 2026'!$Q$2:$Q$376,DATE(2026,11,5),'Agenda 2026'!$M$2:$M$376,1)&gt;=9,CHAR(10)&amp;IFERROR(INDEX('Agenda 2026'!$B$2:$B$376,MATCH(DATE(2026,11,5)*10+9,'Agenda 2026'!$S$2:$S$376,0)),""),"")&amp;IF(COUNTIFS('Agenda 2026'!$Q$2:$Q$376,DATE(2026,11,5),'Agenda 2026'!$M$2:$M$376,1)&gt;=10,CHAR(10)&amp;IFERROR(INDEX('Agenda 2026'!$B$2:$B$376,MATCH(DATE(2026,11,5)*10+10,'Agenda 2026'!$S$2:$S$376,0)),""),"")&amp;IF(COUNTIFS('Agenda 2026'!$Q$2:$Q$376,DATE(2026,11,5),'Agenda 2026'!$M$2:$M$376,1)&gt;=11,CHAR(10)&amp;IFERROR(INDEX('Agenda 2026'!$B$2:$B$376,MATCH(DATE(2026,11,5)*10+11,'Agenda 2026'!$S$2:$S$376,0)),""),"")&amp;IF(COUNTIFS('Agenda 2026'!$Q$2:$Q$376,DATE(2026,11,5),'Agenda 2026'!$M$2:$M$376,1)&gt;=12,CHAR(10)&amp;IFERROR(INDEX('Agenda 2026'!$B$2:$B$376,MATCH(DATE(2026,11,5)*10+12,'Agenda 2026'!$S$2:$S$376,0)),""),"")</f>
        <v>5</v>
      </c>
      <c r="F101" s="58" t="str">
        <f t="array" ref="F101">6&amp;IF(COUNTIFS('Agenda 2026'!$Q$2:$Q$376,DATE(2026,11,6),'Agenda 2026'!$M$2:$M$376,1)&gt;=1,CHAR(10)&amp;IFERROR(INDEX('Agenda 2026'!$B$2:$B$376,MATCH(DATE(2026,11,6)*10+1,'Agenda 2026'!$S$2:$S$376,0)),""),"")&amp;IF(COUNTIFS('Agenda 2026'!$Q$2:$Q$376,DATE(2026,11,6),'Agenda 2026'!$M$2:$M$376,1)&gt;=2,CHAR(10)&amp;IFERROR(INDEX('Agenda 2026'!$B$2:$B$376,MATCH(DATE(2026,11,6)*10+2,'Agenda 2026'!$S$2:$S$376,0)),""),"")&amp;IF(COUNTIFS('Agenda 2026'!$Q$2:$Q$376,DATE(2026,11,6),'Agenda 2026'!$M$2:$M$376,1)&gt;=3,CHAR(10)&amp;IFERROR(INDEX('Agenda 2026'!$B$2:$B$376,MATCH(DATE(2026,11,6)*10+3,'Agenda 2026'!$S$2:$S$376,0)),""),"")&amp;IF(COUNTIFS('Agenda 2026'!$Q$2:$Q$376,DATE(2026,11,6),'Agenda 2026'!$M$2:$M$376,1)&gt;=4,CHAR(10)&amp;IFERROR(INDEX('Agenda 2026'!$B$2:$B$376,MATCH(DATE(2026,11,6)*10+4,'Agenda 2026'!$S$2:$S$376,0)),""),"")&amp;IF(COUNTIFS('Agenda 2026'!$Q$2:$Q$376,DATE(2026,11,6),'Agenda 2026'!$M$2:$M$376,1)&gt;=5,CHAR(10)&amp;IFERROR(INDEX('Agenda 2026'!$B$2:$B$376,MATCH(DATE(2026,11,6)*10+5,'Agenda 2026'!$S$2:$S$376,0)),""),"")&amp;IF(COUNTIFS('Agenda 2026'!$Q$2:$Q$376,DATE(2026,11,6),'Agenda 2026'!$M$2:$M$376,1)&gt;=6,CHAR(10)&amp;IFERROR(INDEX('Agenda 2026'!$B$2:$B$376,MATCH(DATE(2026,11,6)*10+6,'Agenda 2026'!$S$2:$S$376,0)),""),"")&amp;IF(COUNTIFS('Agenda 2026'!$Q$2:$Q$376,DATE(2026,11,6),'Agenda 2026'!$M$2:$M$376,1)&gt;=7,CHAR(10)&amp;IFERROR(INDEX('Agenda 2026'!$B$2:$B$376,MATCH(DATE(2026,11,6)*10+7,'Agenda 2026'!$S$2:$S$376,0)),""),"")&amp;IF(COUNTIFS('Agenda 2026'!$Q$2:$Q$376,DATE(2026,11,6),'Agenda 2026'!$M$2:$M$376,1)&gt;=8,CHAR(10)&amp;IFERROR(INDEX('Agenda 2026'!$B$2:$B$376,MATCH(DATE(2026,11,6)*10+8,'Agenda 2026'!$S$2:$S$376,0)),""),"")&amp;IF(COUNTIFS('Agenda 2026'!$Q$2:$Q$376,DATE(2026,11,6),'Agenda 2026'!$M$2:$M$376,1)&gt;=9,CHAR(10)&amp;IFERROR(INDEX('Agenda 2026'!$B$2:$B$376,MATCH(DATE(2026,11,6)*10+9,'Agenda 2026'!$S$2:$S$376,0)),""),"")&amp;IF(COUNTIFS('Agenda 2026'!$Q$2:$Q$376,DATE(2026,11,6),'Agenda 2026'!$M$2:$M$376,1)&gt;=10,CHAR(10)&amp;IFERROR(INDEX('Agenda 2026'!$B$2:$B$376,MATCH(DATE(2026,11,6)*10+10,'Agenda 2026'!$S$2:$S$376,0)),""),"")&amp;IF(COUNTIFS('Agenda 2026'!$Q$2:$Q$376,DATE(2026,11,6),'Agenda 2026'!$M$2:$M$376,1)&gt;=11,CHAR(10)&amp;IFERROR(INDEX('Agenda 2026'!$B$2:$B$376,MATCH(DATE(2026,11,6)*10+11,'Agenda 2026'!$S$2:$S$376,0)),""),"")&amp;IF(COUNTIFS('Agenda 2026'!$Q$2:$Q$376,DATE(2026,11,6),'Agenda 2026'!$M$2:$M$376,1)&gt;=12,CHAR(10)&amp;IFERROR(INDEX('Agenda 2026'!$B$2:$B$376,MATCH(DATE(2026,11,6)*10+12,'Agenda 2026'!$S$2:$S$376,0)),""),"")</f>
        <v>6</v>
      </c>
      <c r="G101" s="58" t="str">
        <f t="array" ref="G101">7&amp;IF(COUNTIFS('Agenda 2026'!$Q$2:$Q$376,DATE(2026,11,7),'Agenda 2026'!$M$2:$M$376,1)&gt;=1,CHAR(10)&amp;IFERROR(INDEX('Agenda 2026'!$B$2:$B$376,MATCH(DATE(2026,11,7)*10+1,'Agenda 2026'!$S$2:$S$376,0)),""),"")&amp;IF(COUNTIFS('Agenda 2026'!$Q$2:$Q$376,DATE(2026,11,7),'Agenda 2026'!$M$2:$M$376,1)&gt;=2,CHAR(10)&amp;IFERROR(INDEX('Agenda 2026'!$B$2:$B$376,MATCH(DATE(2026,11,7)*10+2,'Agenda 2026'!$S$2:$S$376,0)),""),"")&amp;IF(COUNTIFS('Agenda 2026'!$Q$2:$Q$376,DATE(2026,11,7),'Agenda 2026'!$M$2:$M$376,1)&gt;=3,CHAR(10)&amp;IFERROR(INDEX('Agenda 2026'!$B$2:$B$376,MATCH(DATE(2026,11,7)*10+3,'Agenda 2026'!$S$2:$S$376,0)),""),"")&amp;IF(COUNTIFS('Agenda 2026'!$Q$2:$Q$376,DATE(2026,11,7),'Agenda 2026'!$M$2:$M$376,1)&gt;=4,CHAR(10)&amp;IFERROR(INDEX('Agenda 2026'!$B$2:$B$376,MATCH(DATE(2026,11,7)*10+4,'Agenda 2026'!$S$2:$S$376,0)),""),"")&amp;IF(COUNTIFS('Agenda 2026'!$Q$2:$Q$376,DATE(2026,11,7),'Agenda 2026'!$M$2:$M$376,1)&gt;=5,CHAR(10)&amp;IFERROR(INDEX('Agenda 2026'!$B$2:$B$376,MATCH(DATE(2026,11,7)*10+5,'Agenda 2026'!$S$2:$S$376,0)),""),"")&amp;IF(COUNTIFS('Agenda 2026'!$Q$2:$Q$376,DATE(2026,11,7),'Agenda 2026'!$M$2:$M$376,1)&gt;=6,CHAR(10)&amp;IFERROR(INDEX('Agenda 2026'!$B$2:$B$376,MATCH(DATE(2026,11,7)*10+6,'Agenda 2026'!$S$2:$S$376,0)),""),"")&amp;IF(COUNTIFS('Agenda 2026'!$Q$2:$Q$376,DATE(2026,11,7),'Agenda 2026'!$M$2:$M$376,1)&gt;=7,CHAR(10)&amp;IFERROR(INDEX('Agenda 2026'!$B$2:$B$376,MATCH(DATE(2026,11,7)*10+7,'Agenda 2026'!$S$2:$S$376,0)),""),"")&amp;IF(COUNTIFS('Agenda 2026'!$Q$2:$Q$376,DATE(2026,11,7),'Agenda 2026'!$M$2:$M$376,1)&gt;=8,CHAR(10)&amp;IFERROR(INDEX('Agenda 2026'!$B$2:$B$376,MATCH(DATE(2026,11,7)*10+8,'Agenda 2026'!$S$2:$S$376,0)),""),"")&amp;IF(COUNTIFS('Agenda 2026'!$Q$2:$Q$376,DATE(2026,11,7),'Agenda 2026'!$M$2:$M$376,1)&gt;=9,CHAR(10)&amp;IFERROR(INDEX('Agenda 2026'!$B$2:$B$376,MATCH(DATE(2026,11,7)*10+9,'Agenda 2026'!$S$2:$S$376,0)),""),"")&amp;IF(COUNTIFS('Agenda 2026'!$Q$2:$Q$376,DATE(2026,11,7),'Agenda 2026'!$M$2:$M$376,1)&gt;=10,CHAR(10)&amp;IFERROR(INDEX('Agenda 2026'!$B$2:$B$376,MATCH(DATE(2026,11,7)*10+10,'Agenda 2026'!$S$2:$S$376,0)),""),"")&amp;IF(COUNTIFS('Agenda 2026'!$Q$2:$Q$376,DATE(2026,11,7),'Agenda 2026'!$M$2:$M$376,1)&gt;=11,CHAR(10)&amp;IFERROR(INDEX('Agenda 2026'!$B$2:$B$376,MATCH(DATE(2026,11,7)*10+11,'Agenda 2026'!$S$2:$S$376,0)),""),"")&amp;IF(COUNTIFS('Agenda 2026'!$Q$2:$Q$376,DATE(2026,11,7),'Agenda 2026'!$M$2:$M$376,1)&gt;=12,CHAR(10)&amp;IFERROR(INDEX('Agenda 2026'!$B$2:$B$376,MATCH(DATE(2026,11,7)*10+12,'Agenda 2026'!$S$2:$S$376,0)),""),"")</f>
        <v>7</v>
      </c>
      <c r="H101" s="58" t="str">
        <f t="array" ref="H101">8&amp;IF(COUNTIFS('Agenda 2026'!$Q$2:$Q$376,DATE(2026,11,8),'Agenda 2026'!$M$2:$M$376,1)&gt;=1,CHAR(10)&amp;IFERROR(INDEX('Agenda 2026'!$B$2:$B$376,MATCH(DATE(2026,11,8)*10+1,'Agenda 2026'!$S$2:$S$376,0)),""),"")&amp;IF(COUNTIFS('Agenda 2026'!$Q$2:$Q$376,DATE(2026,11,8),'Agenda 2026'!$M$2:$M$376,1)&gt;=2,CHAR(10)&amp;IFERROR(INDEX('Agenda 2026'!$B$2:$B$376,MATCH(DATE(2026,11,8)*10+2,'Agenda 2026'!$S$2:$S$376,0)),""),"")&amp;IF(COUNTIFS('Agenda 2026'!$Q$2:$Q$376,DATE(2026,11,8),'Agenda 2026'!$M$2:$M$376,1)&gt;=3,CHAR(10)&amp;IFERROR(INDEX('Agenda 2026'!$B$2:$B$376,MATCH(DATE(2026,11,8)*10+3,'Agenda 2026'!$S$2:$S$376,0)),""),"")&amp;IF(COUNTIFS('Agenda 2026'!$Q$2:$Q$376,DATE(2026,11,8),'Agenda 2026'!$M$2:$M$376,1)&gt;=4,CHAR(10)&amp;IFERROR(INDEX('Agenda 2026'!$B$2:$B$376,MATCH(DATE(2026,11,8)*10+4,'Agenda 2026'!$S$2:$S$376,0)),""),"")&amp;IF(COUNTIFS('Agenda 2026'!$Q$2:$Q$376,DATE(2026,11,8),'Agenda 2026'!$M$2:$M$376,1)&gt;=5,CHAR(10)&amp;IFERROR(INDEX('Agenda 2026'!$B$2:$B$376,MATCH(DATE(2026,11,8)*10+5,'Agenda 2026'!$S$2:$S$376,0)),""),"")&amp;IF(COUNTIFS('Agenda 2026'!$Q$2:$Q$376,DATE(2026,11,8),'Agenda 2026'!$M$2:$M$376,1)&gt;=6,CHAR(10)&amp;IFERROR(INDEX('Agenda 2026'!$B$2:$B$376,MATCH(DATE(2026,11,8)*10+6,'Agenda 2026'!$S$2:$S$376,0)),""),"")&amp;IF(COUNTIFS('Agenda 2026'!$Q$2:$Q$376,DATE(2026,11,8),'Agenda 2026'!$M$2:$M$376,1)&gt;=7,CHAR(10)&amp;IFERROR(INDEX('Agenda 2026'!$B$2:$B$376,MATCH(DATE(2026,11,8)*10+7,'Agenda 2026'!$S$2:$S$376,0)),""),"")&amp;IF(COUNTIFS('Agenda 2026'!$Q$2:$Q$376,DATE(2026,11,8),'Agenda 2026'!$M$2:$M$376,1)&gt;=8,CHAR(10)&amp;IFERROR(INDEX('Agenda 2026'!$B$2:$B$376,MATCH(DATE(2026,11,8)*10+8,'Agenda 2026'!$S$2:$S$376,0)),""),"")&amp;IF(COUNTIFS('Agenda 2026'!$Q$2:$Q$376,DATE(2026,11,8),'Agenda 2026'!$M$2:$M$376,1)&gt;=9,CHAR(10)&amp;IFERROR(INDEX('Agenda 2026'!$B$2:$B$376,MATCH(DATE(2026,11,8)*10+9,'Agenda 2026'!$S$2:$S$376,0)),""),"")&amp;IF(COUNTIFS('Agenda 2026'!$Q$2:$Q$376,DATE(2026,11,8),'Agenda 2026'!$M$2:$M$376,1)&gt;=10,CHAR(10)&amp;IFERROR(INDEX('Agenda 2026'!$B$2:$B$376,MATCH(DATE(2026,11,8)*10+10,'Agenda 2026'!$S$2:$S$376,0)),""),"")&amp;IF(COUNTIFS('Agenda 2026'!$Q$2:$Q$376,DATE(2026,11,8),'Agenda 2026'!$M$2:$M$376,1)&gt;=11,CHAR(10)&amp;IFERROR(INDEX('Agenda 2026'!$B$2:$B$376,MATCH(DATE(2026,11,8)*10+11,'Agenda 2026'!$S$2:$S$376,0)),""),"")&amp;IF(COUNTIFS('Agenda 2026'!$Q$2:$Q$376,DATE(2026,11,8),'Agenda 2026'!$M$2:$M$376,1)&gt;=12,CHAR(10)&amp;IFERROR(INDEX('Agenda 2026'!$B$2:$B$376,MATCH(DATE(2026,11,8)*10+12,'Agenda 2026'!$S$2:$S$376,0)),""),"")</f>
        <v>8</v>
      </c>
    </row>
    <row r="102" spans="1:8" ht="57.75" customHeight="1" x14ac:dyDescent="0.35">
      <c r="A102" s="17"/>
      <c r="B102" s="58" t="str">
        <f t="array" ref="B102">9&amp;IF(COUNTIFS('Agenda 2026'!$Q$2:$Q$376,DATE(2026,11,9),'Agenda 2026'!$M$2:$M$376,1)&gt;=1,CHAR(10)&amp;IFERROR(INDEX('Agenda 2026'!$B$2:$B$376,MATCH(DATE(2026,11,9)*10+1,'Agenda 2026'!$S$2:$S$376,0)),""),"")&amp;IF(COUNTIFS('Agenda 2026'!$Q$2:$Q$376,DATE(2026,11,9),'Agenda 2026'!$M$2:$M$376,1)&gt;=2,CHAR(10)&amp;IFERROR(INDEX('Agenda 2026'!$B$2:$B$376,MATCH(DATE(2026,11,9)*10+2,'Agenda 2026'!$S$2:$S$376,0)),""),"")&amp;IF(COUNTIFS('Agenda 2026'!$Q$2:$Q$376,DATE(2026,11,9),'Agenda 2026'!$M$2:$M$376,1)&gt;=3,CHAR(10)&amp;IFERROR(INDEX('Agenda 2026'!$B$2:$B$376,MATCH(DATE(2026,11,9)*10+3,'Agenda 2026'!$S$2:$S$376,0)),""),"")&amp;IF(COUNTIFS('Agenda 2026'!$Q$2:$Q$376,DATE(2026,11,9),'Agenda 2026'!$M$2:$M$376,1)&gt;=4,CHAR(10)&amp;IFERROR(INDEX('Agenda 2026'!$B$2:$B$376,MATCH(DATE(2026,11,9)*10+4,'Agenda 2026'!$S$2:$S$376,0)),""),"")&amp;IF(COUNTIFS('Agenda 2026'!$Q$2:$Q$376,DATE(2026,11,9),'Agenda 2026'!$M$2:$M$376,1)&gt;=5,CHAR(10)&amp;IFERROR(INDEX('Agenda 2026'!$B$2:$B$376,MATCH(DATE(2026,11,9)*10+5,'Agenda 2026'!$S$2:$S$376,0)),""),"")&amp;IF(COUNTIFS('Agenda 2026'!$Q$2:$Q$376,DATE(2026,11,9),'Agenda 2026'!$M$2:$M$376,1)&gt;=6,CHAR(10)&amp;IFERROR(INDEX('Agenda 2026'!$B$2:$B$376,MATCH(DATE(2026,11,9)*10+6,'Agenda 2026'!$S$2:$S$376,0)),""),"")&amp;IF(COUNTIFS('Agenda 2026'!$Q$2:$Q$376,DATE(2026,11,9),'Agenda 2026'!$M$2:$M$376,1)&gt;=7,CHAR(10)&amp;IFERROR(INDEX('Agenda 2026'!$B$2:$B$376,MATCH(DATE(2026,11,9)*10+7,'Agenda 2026'!$S$2:$S$376,0)),""),"")&amp;IF(COUNTIFS('Agenda 2026'!$Q$2:$Q$376,DATE(2026,11,9),'Agenda 2026'!$M$2:$M$376,1)&gt;=8,CHAR(10)&amp;IFERROR(INDEX('Agenda 2026'!$B$2:$B$376,MATCH(DATE(2026,11,9)*10+8,'Agenda 2026'!$S$2:$S$376,0)),""),"")&amp;IF(COUNTIFS('Agenda 2026'!$Q$2:$Q$376,DATE(2026,11,9),'Agenda 2026'!$M$2:$M$376,1)&gt;=9,CHAR(10)&amp;IFERROR(INDEX('Agenda 2026'!$B$2:$B$376,MATCH(DATE(2026,11,9)*10+9,'Agenda 2026'!$S$2:$S$376,0)),""),"")&amp;IF(COUNTIFS('Agenda 2026'!$Q$2:$Q$376,DATE(2026,11,9),'Agenda 2026'!$M$2:$M$376,1)&gt;=10,CHAR(10)&amp;IFERROR(INDEX('Agenda 2026'!$B$2:$B$376,MATCH(DATE(2026,11,9)*10+10,'Agenda 2026'!$S$2:$S$376,0)),""),"")&amp;IF(COUNTIFS('Agenda 2026'!$Q$2:$Q$376,DATE(2026,11,9),'Agenda 2026'!$M$2:$M$376,1)&gt;=11,CHAR(10)&amp;IFERROR(INDEX('Agenda 2026'!$B$2:$B$376,MATCH(DATE(2026,11,9)*10+11,'Agenda 2026'!$S$2:$S$376,0)),""),"")&amp;IF(COUNTIFS('Agenda 2026'!$Q$2:$Q$376,DATE(2026,11,9),'Agenda 2026'!$M$2:$M$376,1)&gt;=12,CHAR(10)&amp;IFERROR(INDEX('Agenda 2026'!$B$2:$B$376,MATCH(DATE(2026,11,9)*10+12,'Agenda 2026'!$S$2:$S$376,0)),""),"")</f>
        <v>9</v>
      </c>
      <c r="C102" s="58" t="str">
        <f t="array" ref="C102">10&amp;IF(COUNTIFS('Agenda 2026'!$Q$2:$Q$376,DATE(2026,11,10),'Agenda 2026'!$M$2:$M$376,1)&gt;=1,CHAR(10)&amp;IFERROR(INDEX('Agenda 2026'!$B$2:$B$376,MATCH(DATE(2026,11,10)*10+1,'Agenda 2026'!$S$2:$S$376,0)),""),"")&amp;IF(COUNTIFS('Agenda 2026'!$Q$2:$Q$376,DATE(2026,11,10),'Agenda 2026'!$M$2:$M$376,1)&gt;=2,CHAR(10)&amp;IFERROR(INDEX('Agenda 2026'!$B$2:$B$376,MATCH(DATE(2026,11,10)*10+2,'Agenda 2026'!$S$2:$S$376,0)),""),"")&amp;IF(COUNTIFS('Agenda 2026'!$Q$2:$Q$376,DATE(2026,11,10),'Agenda 2026'!$M$2:$M$376,1)&gt;=3,CHAR(10)&amp;IFERROR(INDEX('Agenda 2026'!$B$2:$B$376,MATCH(DATE(2026,11,10)*10+3,'Agenda 2026'!$S$2:$S$376,0)),""),"")&amp;IF(COUNTIFS('Agenda 2026'!$Q$2:$Q$376,DATE(2026,11,10),'Agenda 2026'!$M$2:$M$376,1)&gt;=4,CHAR(10)&amp;IFERROR(INDEX('Agenda 2026'!$B$2:$B$376,MATCH(DATE(2026,11,10)*10+4,'Agenda 2026'!$S$2:$S$376,0)),""),"")&amp;IF(COUNTIFS('Agenda 2026'!$Q$2:$Q$376,DATE(2026,11,10),'Agenda 2026'!$M$2:$M$376,1)&gt;=5,CHAR(10)&amp;IFERROR(INDEX('Agenda 2026'!$B$2:$B$376,MATCH(DATE(2026,11,10)*10+5,'Agenda 2026'!$S$2:$S$376,0)),""),"")&amp;IF(COUNTIFS('Agenda 2026'!$Q$2:$Q$376,DATE(2026,11,10),'Agenda 2026'!$M$2:$M$376,1)&gt;=6,CHAR(10)&amp;IFERROR(INDEX('Agenda 2026'!$B$2:$B$376,MATCH(DATE(2026,11,10)*10+6,'Agenda 2026'!$S$2:$S$376,0)),""),"")&amp;IF(COUNTIFS('Agenda 2026'!$Q$2:$Q$376,DATE(2026,11,10),'Agenda 2026'!$M$2:$M$376,1)&gt;=7,CHAR(10)&amp;IFERROR(INDEX('Agenda 2026'!$B$2:$B$376,MATCH(DATE(2026,11,10)*10+7,'Agenda 2026'!$S$2:$S$376,0)),""),"")&amp;IF(COUNTIFS('Agenda 2026'!$Q$2:$Q$376,DATE(2026,11,10),'Agenda 2026'!$M$2:$M$376,1)&gt;=8,CHAR(10)&amp;IFERROR(INDEX('Agenda 2026'!$B$2:$B$376,MATCH(DATE(2026,11,10)*10+8,'Agenda 2026'!$S$2:$S$376,0)),""),"")&amp;IF(COUNTIFS('Agenda 2026'!$Q$2:$Q$376,DATE(2026,11,10),'Agenda 2026'!$M$2:$M$376,1)&gt;=9,CHAR(10)&amp;IFERROR(INDEX('Agenda 2026'!$B$2:$B$376,MATCH(DATE(2026,11,10)*10+9,'Agenda 2026'!$S$2:$S$376,0)),""),"")&amp;IF(COUNTIFS('Agenda 2026'!$Q$2:$Q$376,DATE(2026,11,10),'Agenda 2026'!$M$2:$M$376,1)&gt;=10,CHAR(10)&amp;IFERROR(INDEX('Agenda 2026'!$B$2:$B$376,MATCH(DATE(2026,11,10)*10+10,'Agenda 2026'!$S$2:$S$376,0)),""),"")&amp;IF(COUNTIFS('Agenda 2026'!$Q$2:$Q$376,DATE(2026,11,10),'Agenda 2026'!$M$2:$M$376,1)&gt;=11,CHAR(10)&amp;IFERROR(INDEX('Agenda 2026'!$B$2:$B$376,MATCH(DATE(2026,11,10)*10+11,'Agenda 2026'!$S$2:$S$376,0)),""),"")&amp;IF(COUNTIFS('Agenda 2026'!$Q$2:$Q$376,DATE(2026,11,10),'Agenda 2026'!$M$2:$M$376,1)&gt;=12,CHAR(10)&amp;IFERROR(INDEX('Agenda 2026'!$B$2:$B$376,MATCH(DATE(2026,11,10)*10+12,'Agenda 2026'!$S$2:$S$376,0)),""),"")</f>
        <v>10</v>
      </c>
      <c r="D102" s="58" t="str">
        <f t="array" ref="D102">11&amp;IF(COUNTIFS('Agenda 2026'!$Q$2:$Q$376,DATE(2026,11,11),'Agenda 2026'!$M$2:$M$376,1)&gt;=1,CHAR(10)&amp;IFERROR(INDEX('Agenda 2026'!$B$2:$B$376,MATCH(DATE(2026,11,11)*10+1,'Agenda 2026'!$S$2:$S$376,0)),""),"")&amp;IF(COUNTIFS('Agenda 2026'!$Q$2:$Q$376,DATE(2026,11,11),'Agenda 2026'!$M$2:$M$376,1)&gt;=2,CHAR(10)&amp;IFERROR(INDEX('Agenda 2026'!$B$2:$B$376,MATCH(DATE(2026,11,11)*10+2,'Agenda 2026'!$S$2:$S$376,0)),""),"")&amp;IF(COUNTIFS('Agenda 2026'!$Q$2:$Q$376,DATE(2026,11,11),'Agenda 2026'!$M$2:$M$376,1)&gt;=3,CHAR(10)&amp;IFERROR(INDEX('Agenda 2026'!$B$2:$B$376,MATCH(DATE(2026,11,11)*10+3,'Agenda 2026'!$S$2:$S$376,0)),""),"")&amp;IF(COUNTIFS('Agenda 2026'!$Q$2:$Q$376,DATE(2026,11,11),'Agenda 2026'!$M$2:$M$376,1)&gt;=4,CHAR(10)&amp;IFERROR(INDEX('Agenda 2026'!$B$2:$B$376,MATCH(DATE(2026,11,11)*10+4,'Agenda 2026'!$S$2:$S$376,0)),""),"")&amp;IF(COUNTIFS('Agenda 2026'!$Q$2:$Q$376,DATE(2026,11,11),'Agenda 2026'!$M$2:$M$376,1)&gt;=5,CHAR(10)&amp;IFERROR(INDEX('Agenda 2026'!$B$2:$B$376,MATCH(DATE(2026,11,11)*10+5,'Agenda 2026'!$S$2:$S$376,0)),""),"")&amp;IF(COUNTIFS('Agenda 2026'!$Q$2:$Q$376,DATE(2026,11,11),'Agenda 2026'!$M$2:$M$376,1)&gt;=6,CHAR(10)&amp;IFERROR(INDEX('Agenda 2026'!$B$2:$B$376,MATCH(DATE(2026,11,11)*10+6,'Agenda 2026'!$S$2:$S$376,0)),""),"")&amp;IF(COUNTIFS('Agenda 2026'!$Q$2:$Q$376,DATE(2026,11,11),'Agenda 2026'!$M$2:$M$376,1)&gt;=7,CHAR(10)&amp;IFERROR(INDEX('Agenda 2026'!$B$2:$B$376,MATCH(DATE(2026,11,11)*10+7,'Agenda 2026'!$S$2:$S$376,0)),""),"")&amp;IF(COUNTIFS('Agenda 2026'!$Q$2:$Q$376,DATE(2026,11,11),'Agenda 2026'!$M$2:$M$376,1)&gt;=8,CHAR(10)&amp;IFERROR(INDEX('Agenda 2026'!$B$2:$B$376,MATCH(DATE(2026,11,11)*10+8,'Agenda 2026'!$S$2:$S$376,0)),""),"")&amp;IF(COUNTIFS('Agenda 2026'!$Q$2:$Q$376,DATE(2026,11,11),'Agenda 2026'!$M$2:$M$376,1)&gt;=9,CHAR(10)&amp;IFERROR(INDEX('Agenda 2026'!$B$2:$B$376,MATCH(DATE(2026,11,11)*10+9,'Agenda 2026'!$S$2:$S$376,0)),""),"")&amp;IF(COUNTIFS('Agenda 2026'!$Q$2:$Q$376,DATE(2026,11,11),'Agenda 2026'!$M$2:$M$376,1)&gt;=10,CHAR(10)&amp;IFERROR(INDEX('Agenda 2026'!$B$2:$B$376,MATCH(DATE(2026,11,11)*10+10,'Agenda 2026'!$S$2:$S$376,0)),""),"")&amp;IF(COUNTIFS('Agenda 2026'!$Q$2:$Q$376,DATE(2026,11,11),'Agenda 2026'!$M$2:$M$376,1)&gt;=11,CHAR(10)&amp;IFERROR(INDEX('Agenda 2026'!$B$2:$B$376,MATCH(DATE(2026,11,11)*10+11,'Agenda 2026'!$S$2:$S$376,0)),""),"")&amp;IF(COUNTIFS('Agenda 2026'!$Q$2:$Q$376,DATE(2026,11,11),'Agenda 2026'!$M$2:$M$376,1)&gt;=12,CHAR(10)&amp;IFERROR(INDEX('Agenda 2026'!$B$2:$B$376,MATCH(DATE(2026,11,11)*10+12,'Agenda 2026'!$S$2:$S$376,0)),""),"")</f>
        <v>11</v>
      </c>
      <c r="E102" s="58" t="str">
        <f t="array" ref="E102">12&amp;IF(COUNTIFS('Agenda 2026'!$Q$2:$Q$376,DATE(2026,11,12),'Agenda 2026'!$M$2:$M$376,1)&gt;=1,CHAR(10)&amp;IFERROR(INDEX('Agenda 2026'!$B$2:$B$376,MATCH(DATE(2026,11,12)*10+1,'Agenda 2026'!$S$2:$S$376,0)),""),"")&amp;IF(COUNTIFS('Agenda 2026'!$Q$2:$Q$376,DATE(2026,11,12),'Agenda 2026'!$M$2:$M$376,1)&gt;=2,CHAR(10)&amp;IFERROR(INDEX('Agenda 2026'!$B$2:$B$376,MATCH(DATE(2026,11,12)*10+2,'Agenda 2026'!$S$2:$S$376,0)),""),"")&amp;IF(COUNTIFS('Agenda 2026'!$Q$2:$Q$376,DATE(2026,11,12),'Agenda 2026'!$M$2:$M$376,1)&gt;=3,CHAR(10)&amp;IFERROR(INDEX('Agenda 2026'!$B$2:$B$376,MATCH(DATE(2026,11,12)*10+3,'Agenda 2026'!$S$2:$S$376,0)),""),"")&amp;IF(COUNTIFS('Agenda 2026'!$Q$2:$Q$376,DATE(2026,11,12),'Agenda 2026'!$M$2:$M$376,1)&gt;=4,CHAR(10)&amp;IFERROR(INDEX('Agenda 2026'!$B$2:$B$376,MATCH(DATE(2026,11,12)*10+4,'Agenda 2026'!$S$2:$S$376,0)),""),"")&amp;IF(COUNTIFS('Agenda 2026'!$Q$2:$Q$376,DATE(2026,11,12),'Agenda 2026'!$M$2:$M$376,1)&gt;=5,CHAR(10)&amp;IFERROR(INDEX('Agenda 2026'!$B$2:$B$376,MATCH(DATE(2026,11,12)*10+5,'Agenda 2026'!$S$2:$S$376,0)),""),"")&amp;IF(COUNTIFS('Agenda 2026'!$Q$2:$Q$376,DATE(2026,11,12),'Agenda 2026'!$M$2:$M$376,1)&gt;=6,CHAR(10)&amp;IFERROR(INDEX('Agenda 2026'!$B$2:$B$376,MATCH(DATE(2026,11,12)*10+6,'Agenda 2026'!$S$2:$S$376,0)),""),"")&amp;IF(COUNTIFS('Agenda 2026'!$Q$2:$Q$376,DATE(2026,11,12),'Agenda 2026'!$M$2:$M$376,1)&gt;=7,CHAR(10)&amp;IFERROR(INDEX('Agenda 2026'!$B$2:$B$376,MATCH(DATE(2026,11,12)*10+7,'Agenda 2026'!$S$2:$S$376,0)),""),"")&amp;IF(COUNTIFS('Agenda 2026'!$Q$2:$Q$376,DATE(2026,11,12),'Agenda 2026'!$M$2:$M$376,1)&gt;=8,CHAR(10)&amp;IFERROR(INDEX('Agenda 2026'!$B$2:$B$376,MATCH(DATE(2026,11,12)*10+8,'Agenda 2026'!$S$2:$S$376,0)),""),"")&amp;IF(COUNTIFS('Agenda 2026'!$Q$2:$Q$376,DATE(2026,11,12),'Agenda 2026'!$M$2:$M$376,1)&gt;=9,CHAR(10)&amp;IFERROR(INDEX('Agenda 2026'!$B$2:$B$376,MATCH(DATE(2026,11,12)*10+9,'Agenda 2026'!$S$2:$S$376,0)),""),"")&amp;IF(COUNTIFS('Agenda 2026'!$Q$2:$Q$376,DATE(2026,11,12),'Agenda 2026'!$M$2:$M$376,1)&gt;=10,CHAR(10)&amp;IFERROR(INDEX('Agenda 2026'!$B$2:$B$376,MATCH(DATE(2026,11,12)*10+10,'Agenda 2026'!$S$2:$S$376,0)),""),"")&amp;IF(COUNTIFS('Agenda 2026'!$Q$2:$Q$376,DATE(2026,11,12),'Agenda 2026'!$M$2:$M$376,1)&gt;=11,CHAR(10)&amp;IFERROR(INDEX('Agenda 2026'!$B$2:$B$376,MATCH(DATE(2026,11,12)*10+11,'Agenda 2026'!$S$2:$S$376,0)),""),"")&amp;IF(COUNTIFS('Agenda 2026'!$Q$2:$Q$376,DATE(2026,11,12),'Agenda 2026'!$M$2:$M$376,1)&gt;=12,CHAR(10)&amp;IFERROR(INDEX('Agenda 2026'!$B$2:$B$376,MATCH(DATE(2026,11,12)*10+12,'Agenda 2026'!$S$2:$S$376,0)),""),"")</f>
        <v>12</v>
      </c>
      <c r="F102" s="58" t="str">
        <f t="array" ref="F102">13&amp;IF(COUNTIFS('Agenda 2026'!$Q$2:$Q$376,DATE(2026,11,13),'Agenda 2026'!$M$2:$M$376,1)&gt;=1,CHAR(10)&amp;IFERROR(INDEX('Agenda 2026'!$B$2:$B$376,MATCH(DATE(2026,11,13)*10+1,'Agenda 2026'!$S$2:$S$376,0)),""),"")&amp;IF(COUNTIFS('Agenda 2026'!$Q$2:$Q$376,DATE(2026,11,13),'Agenda 2026'!$M$2:$M$376,1)&gt;=2,CHAR(10)&amp;IFERROR(INDEX('Agenda 2026'!$B$2:$B$376,MATCH(DATE(2026,11,13)*10+2,'Agenda 2026'!$S$2:$S$376,0)),""),"")&amp;IF(COUNTIFS('Agenda 2026'!$Q$2:$Q$376,DATE(2026,11,13),'Agenda 2026'!$M$2:$M$376,1)&gt;=3,CHAR(10)&amp;IFERROR(INDEX('Agenda 2026'!$B$2:$B$376,MATCH(DATE(2026,11,13)*10+3,'Agenda 2026'!$S$2:$S$376,0)),""),"")&amp;IF(COUNTIFS('Agenda 2026'!$Q$2:$Q$376,DATE(2026,11,13),'Agenda 2026'!$M$2:$M$376,1)&gt;=4,CHAR(10)&amp;IFERROR(INDEX('Agenda 2026'!$B$2:$B$376,MATCH(DATE(2026,11,13)*10+4,'Agenda 2026'!$S$2:$S$376,0)),""),"")&amp;IF(COUNTIFS('Agenda 2026'!$Q$2:$Q$376,DATE(2026,11,13),'Agenda 2026'!$M$2:$M$376,1)&gt;=5,CHAR(10)&amp;IFERROR(INDEX('Agenda 2026'!$B$2:$B$376,MATCH(DATE(2026,11,13)*10+5,'Agenda 2026'!$S$2:$S$376,0)),""),"")&amp;IF(COUNTIFS('Agenda 2026'!$Q$2:$Q$376,DATE(2026,11,13),'Agenda 2026'!$M$2:$M$376,1)&gt;=6,CHAR(10)&amp;IFERROR(INDEX('Agenda 2026'!$B$2:$B$376,MATCH(DATE(2026,11,13)*10+6,'Agenda 2026'!$S$2:$S$376,0)),""),"")&amp;IF(COUNTIFS('Agenda 2026'!$Q$2:$Q$376,DATE(2026,11,13),'Agenda 2026'!$M$2:$M$376,1)&gt;=7,CHAR(10)&amp;IFERROR(INDEX('Agenda 2026'!$B$2:$B$376,MATCH(DATE(2026,11,13)*10+7,'Agenda 2026'!$S$2:$S$376,0)),""),"")&amp;IF(COUNTIFS('Agenda 2026'!$Q$2:$Q$376,DATE(2026,11,13),'Agenda 2026'!$M$2:$M$376,1)&gt;=8,CHAR(10)&amp;IFERROR(INDEX('Agenda 2026'!$B$2:$B$376,MATCH(DATE(2026,11,13)*10+8,'Agenda 2026'!$S$2:$S$376,0)),""),"")&amp;IF(COUNTIFS('Agenda 2026'!$Q$2:$Q$376,DATE(2026,11,13),'Agenda 2026'!$M$2:$M$376,1)&gt;=9,CHAR(10)&amp;IFERROR(INDEX('Agenda 2026'!$B$2:$B$376,MATCH(DATE(2026,11,13)*10+9,'Agenda 2026'!$S$2:$S$376,0)),""),"")&amp;IF(COUNTIFS('Agenda 2026'!$Q$2:$Q$376,DATE(2026,11,13),'Agenda 2026'!$M$2:$M$376,1)&gt;=10,CHAR(10)&amp;IFERROR(INDEX('Agenda 2026'!$B$2:$B$376,MATCH(DATE(2026,11,13)*10+10,'Agenda 2026'!$S$2:$S$376,0)),""),"")&amp;IF(COUNTIFS('Agenda 2026'!$Q$2:$Q$376,DATE(2026,11,13),'Agenda 2026'!$M$2:$M$376,1)&gt;=11,CHAR(10)&amp;IFERROR(INDEX('Agenda 2026'!$B$2:$B$376,MATCH(DATE(2026,11,13)*10+11,'Agenda 2026'!$S$2:$S$376,0)),""),"")&amp;IF(COUNTIFS('Agenda 2026'!$Q$2:$Q$376,DATE(2026,11,13),'Agenda 2026'!$M$2:$M$376,1)&gt;=12,CHAR(10)&amp;IFERROR(INDEX('Agenda 2026'!$B$2:$B$376,MATCH(DATE(2026,11,13)*10+12,'Agenda 2026'!$S$2:$S$376,0)),""),"")</f>
        <v>13</v>
      </c>
      <c r="G102" s="58" t="str">
        <f t="array" ref="G102">14&amp;IF(COUNTIFS('Agenda 2026'!$Q$2:$Q$376,DATE(2026,11,14),'Agenda 2026'!$M$2:$M$376,1)&gt;=1,CHAR(10)&amp;IFERROR(INDEX('Agenda 2026'!$B$2:$B$376,MATCH(DATE(2026,11,14)*10+1,'Agenda 2026'!$S$2:$S$376,0)),""),"")&amp;IF(COUNTIFS('Agenda 2026'!$Q$2:$Q$376,DATE(2026,11,14),'Agenda 2026'!$M$2:$M$376,1)&gt;=2,CHAR(10)&amp;IFERROR(INDEX('Agenda 2026'!$B$2:$B$376,MATCH(DATE(2026,11,14)*10+2,'Agenda 2026'!$S$2:$S$376,0)),""),"")&amp;IF(COUNTIFS('Agenda 2026'!$Q$2:$Q$376,DATE(2026,11,14),'Agenda 2026'!$M$2:$M$376,1)&gt;=3,CHAR(10)&amp;IFERROR(INDEX('Agenda 2026'!$B$2:$B$376,MATCH(DATE(2026,11,14)*10+3,'Agenda 2026'!$S$2:$S$376,0)),""),"")&amp;IF(COUNTIFS('Agenda 2026'!$Q$2:$Q$376,DATE(2026,11,14),'Agenda 2026'!$M$2:$M$376,1)&gt;=4,CHAR(10)&amp;IFERROR(INDEX('Agenda 2026'!$B$2:$B$376,MATCH(DATE(2026,11,14)*10+4,'Agenda 2026'!$S$2:$S$376,0)),""),"")&amp;IF(COUNTIFS('Agenda 2026'!$Q$2:$Q$376,DATE(2026,11,14),'Agenda 2026'!$M$2:$M$376,1)&gt;=5,CHAR(10)&amp;IFERROR(INDEX('Agenda 2026'!$B$2:$B$376,MATCH(DATE(2026,11,14)*10+5,'Agenda 2026'!$S$2:$S$376,0)),""),"")&amp;IF(COUNTIFS('Agenda 2026'!$Q$2:$Q$376,DATE(2026,11,14),'Agenda 2026'!$M$2:$M$376,1)&gt;=6,CHAR(10)&amp;IFERROR(INDEX('Agenda 2026'!$B$2:$B$376,MATCH(DATE(2026,11,14)*10+6,'Agenda 2026'!$S$2:$S$376,0)),""),"")&amp;IF(COUNTIFS('Agenda 2026'!$Q$2:$Q$376,DATE(2026,11,14),'Agenda 2026'!$M$2:$M$376,1)&gt;=7,CHAR(10)&amp;IFERROR(INDEX('Agenda 2026'!$B$2:$B$376,MATCH(DATE(2026,11,14)*10+7,'Agenda 2026'!$S$2:$S$376,0)),""),"")&amp;IF(COUNTIFS('Agenda 2026'!$Q$2:$Q$376,DATE(2026,11,14),'Agenda 2026'!$M$2:$M$376,1)&gt;=8,CHAR(10)&amp;IFERROR(INDEX('Agenda 2026'!$B$2:$B$376,MATCH(DATE(2026,11,14)*10+8,'Agenda 2026'!$S$2:$S$376,0)),""),"")&amp;IF(COUNTIFS('Agenda 2026'!$Q$2:$Q$376,DATE(2026,11,14),'Agenda 2026'!$M$2:$M$376,1)&gt;=9,CHAR(10)&amp;IFERROR(INDEX('Agenda 2026'!$B$2:$B$376,MATCH(DATE(2026,11,14)*10+9,'Agenda 2026'!$S$2:$S$376,0)),""),"")&amp;IF(COUNTIFS('Agenda 2026'!$Q$2:$Q$376,DATE(2026,11,14),'Agenda 2026'!$M$2:$M$376,1)&gt;=10,CHAR(10)&amp;IFERROR(INDEX('Agenda 2026'!$B$2:$B$376,MATCH(DATE(2026,11,14)*10+10,'Agenda 2026'!$S$2:$S$376,0)),""),"")&amp;IF(COUNTIFS('Agenda 2026'!$Q$2:$Q$376,DATE(2026,11,14),'Agenda 2026'!$M$2:$M$376,1)&gt;=11,CHAR(10)&amp;IFERROR(INDEX('Agenda 2026'!$B$2:$B$376,MATCH(DATE(2026,11,14)*10+11,'Agenda 2026'!$S$2:$S$376,0)),""),"")&amp;IF(COUNTIFS('Agenda 2026'!$Q$2:$Q$376,DATE(2026,11,14),'Agenda 2026'!$M$2:$M$376,1)&gt;=12,CHAR(10)&amp;IFERROR(INDEX('Agenda 2026'!$B$2:$B$376,MATCH(DATE(2026,11,14)*10+12,'Agenda 2026'!$S$2:$S$376,0)),""),"")</f>
        <v>14</v>
      </c>
      <c r="H102" s="58" t="str">
        <f t="array" ref="H102">15&amp;IF(COUNTIFS('Agenda 2026'!$Q$2:$Q$376,DATE(2026,11,15),'Agenda 2026'!$M$2:$M$376,1)&gt;=1,CHAR(10)&amp;IFERROR(INDEX('Agenda 2026'!$B$2:$B$376,MATCH(DATE(2026,11,15)*10+1,'Agenda 2026'!$S$2:$S$376,0)),""),"")&amp;IF(COUNTIFS('Agenda 2026'!$Q$2:$Q$376,DATE(2026,11,15),'Agenda 2026'!$M$2:$M$376,1)&gt;=2,CHAR(10)&amp;IFERROR(INDEX('Agenda 2026'!$B$2:$B$376,MATCH(DATE(2026,11,15)*10+2,'Agenda 2026'!$S$2:$S$376,0)),""),"")&amp;IF(COUNTIFS('Agenda 2026'!$Q$2:$Q$376,DATE(2026,11,15),'Agenda 2026'!$M$2:$M$376,1)&gt;=3,CHAR(10)&amp;IFERROR(INDEX('Agenda 2026'!$B$2:$B$376,MATCH(DATE(2026,11,15)*10+3,'Agenda 2026'!$S$2:$S$376,0)),""),"")&amp;IF(COUNTIFS('Agenda 2026'!$Q$2:$Q$376,DATE(2026,11,15),'Agenda 2026'!$M$2:$M$376,1)&gt;=4,CHAR(10)&amp;IFERROR(INDEX('Agenda 2026'!$B$2:$B$376,MATCH(DATE(2026,11,15)*10+4,'Agenda 2026'!$S$2:$S$376,0)),""),"")&amp;IF(COUNTIFS('Agenda 2026'!$Q$2:$Q$376,DATE(2026,11,15),'Agenda 2026'!$M$2:$M$376,1)&gt;=5,CHAR(10)&amp;IFERROR(INDEX('Agenda 2026'!$B$2:$B$376,MATCH(DATE(2026,11,15)*10+5,'Agenda 2026'!$S$2:$S$376,0)),""),"")&amp;IF(COUNTIFS('Agenda 2026'!$Q$2:$Q$376,DATE(2026,11,15),'Agenda 2026'!$M$2:$M$376,1)&gt;=6,CHAR(10)&amp;IFERROR(INDEX('Agenda 2026'!$B$2:$B$376,MATCH(DATE(2026,11,15)*10+6,'Agenda 2026'!$S$2:$S$376,0)),""),"")&amp;IF(COUNTIFS('Agenda 2026'!$Q$2:$Q$376,DATE(2026,11,15),'Agenda 2026'!$M$2:$M$376,1)&gt;=7,CHAR(10)&amp;IFERROR(INDEX('Agenda 2026'!$B$2:$B$376,MATCH(DATE(2026,11,15)*10+7,'Agenda 2026'!$S$2:$S$376,0)),""),"")&amp;IF(COUNTIFS('Agenda 2026'!$Q$2:$Q$376,DATE(2026,11,15),'Agenda 2026'!$M$2:$M$376,1)&gt;=8,CHAR(10)&amp;IFERROR(INDEX('Agenda 2026'!$B$2:$B$376,MATCH(DATE(2026,11,15)*10+8,'Agenda 2026'!$S$2:$S$376,0)),""),"")&amp;IF(COUNTIFS('Agenda 2026'!$Q$2:$Q$376,DATE(2026,11,15),'Agenda 2026'!$M$2:$M$376,1)&gt;=9,CHAR(10)&amp;IFERROR(INDEX('Agenda 2026'!$B$2:$B$376,MATCH(DATE(2026,11,15)*10+9,'Agenda 2026'!$S$2:$S$376,0)),""),"")&amp;IF(COUNTIFS('Agenda 2026'!$Q$2:$Q$376,DATE(2026,11,15),'Agenda 2026'!$M$2:$M$376,1)&gt;=10,CHAR(10)&amp;IFERROR(INDEX('Agenda 2026'!$B$2:$B$376,MATCH(DATE(2026,11,15)*10+10,'Agenda 2026'!$S$2:$S$376,0)),""),"")&amp;IF(COUNTIFS('Agenda 2026'!$Q$2:$Q$376,DATE(2026,11,15),'Agenda 2026'!$M$2:$M$376,1)&gt;=11,CHAR(10)&amp;IFERROR(INDEX('Agenda 2026'!$B$2:$B$376,MATCH(DATE(2026,11,15)*10+11,'Agenda 2026'!$S$2:$S$376,0)),""),"")&amp;IF(COUNTIFS('Agenda 2026'!$Q$2:$Q$376,DATE(2026,11,15),'Agenda 2026'!$M$2:$M$376,1)&gt;=12,CHAR(10)&amp;IFERROR(INDEX('Agenda 2026'!$B$2:$B$376,MATCH(DATE(2026,11,15)*10+12,'Agenda 2026'!$S$2:$S$376,0)),""),"")</f>
        <v>15</v>
      </c>
    </row>
    <row r="103" spans="1:8" ht="69.75" customHeight="1" x14ac:dyDescent="0.35">
      <c r="A103" s="17"/>
      <c r="B103" s="58" t="str">
        <f t="array" ref="B103">16&amp;IF(COUNTIFS('Agenda 2026'!$Q$2:$Q$376,DATE(2026,11,16),'Agenda 2026'!$M$2:$M$376,1)&gt;=1,CHAR(10)&amp;IFERROR(INDEX('Agenda 2026'!$B$2:$B$376,MATCH(DATE(2026,11,16)*10+1,'Agenda 2026'!$S$2:$S$376,0)),""),"")&amp;IF(COUNTIFS('Agenda 2026'!$Q$2:$Q$376,DATE(2026,11,16),'Agenda 2026'!$M$2:$M$376,1)&gt;=2,CHAR(10)&amp;IFERROR(INDEX('Agenda 2026'!$B$2:$B$376,MATCH(DATE(2026,11,16)*10+2,'Agenda 2026'!$S$2:$S$376,0)),""),"")&amp;IF(COUNTIFS('Agenda 2026'!$Q$2:$Q$376,DATE(2026,11,16),'Agenda 2026'!$M$2:$M$376,1)&gt;=3,CHAR(10)&amp;IFERROR(INDEX('Agenda 2026'!$B$2:$B$376,MATCH(DATE(2026,11,16)*10+3,'Agenda 2026'!$S$2:$S$376,0)),""),"")&amp;IF(COUNTIFS('Agenda 2026'!$Q$2:$Q$376,DATE(2026,11,16),'Agenda 2026'!$M$2:$M$376,1)&gt;=4,CHAR(10)&amp;IFERROR(INDEX('Agenda 2026'!$B$2:$B$376,MATCH(DATE(2026,11,16)*10+4,'Agenda 2026'!$S$2:$S$376,0)),""),"")&amp;IF(COUNTIFS('Agenda 2026'!$Q$2:$Q$376,DATE(2026,11,16),'Agenda 2026'!$M$2:$M$376,1)&gt;=5,CHAR(10)&amp;IFERROR(INDEX('Agenda 2026'!$B$2:$B$376,MATCH(DATE(2026,11,16)*10+5,'Agenda 2026'!$S$2:$S$376,0)),""),"")&amp;IF(COUNTIFS('Agenda 2026'!$Q$2:$Q$376,DATE(2026,11,16),'Agenda 2026'!$M$2:$M$376,1)&gt;=6,CHAR(10)&amp;IFERROR(INDEX('Agenda 2026'!$B$2:$B$376,MATCH(DATE(2026,11,16)*10+6,'Agenda 2026'!$S$2:$S$376,0)),""),"")&amp;IF(COUNTIFS('Agenda 2026'!$Q$2:$Q$376,DATE(2026,11,16),'Agenda 2026'!$M$2:$M$376,1)&gt;=7,CHAR(10)&amp;IFERROR(INDEX('Agenda 2026'!$B$2:$B$376,MATCH(DATE(2026,11,16)*10+7,'Agenda 2026'!$S$2:$S$376,0)),""),"")&amp;IF(COUNTIFS('Agenda 2026'!$Q$2:$Q$376,DATE(2026,11,16),'Agenda 2026'!$M$2:$M$376,1)&gt;=8,CHAR(10)&amp;IFERROR(INDEX('Agenda 2026'!$B$2:$B$376,MATCH(DATE(2026,11,16)*10+8,'Agenda 2026'!$S$2:$S$376,0)),""),"")&amp;IF(COUNTIFS('Agenda 2026'!$Q$2:$Q$376,DATE(2026,11,16),'Agenda 2026'!$M$2:$M$376,1)&gt;=9,CHAR(10)&amp;IFERROR(INDEX('Agenda 2026'!$B$2:$B$376,MATCH(DATE(2026,11,16)*10+9,'Agenda 2026'!$S$2:$S$376,0)),""),"")&amp;IF(COUNTIFS('Agenda 2026'!$Q$2:$Q$376,DATE(2026,11,16),'Agenda 2026'!$M$2:$M$376,1)&gt;=10,CHAR(10)&amp;IFERROR(INDEX('Agenda 2026'!$B$2:$B$376,MATCH(DATE(2026,11,16)*10+10,'Agenda 2026'!$S$2:$S$376,0)),""),"")&amp;IF(COUNTIFS('Agenda 2026'!$Q$2:$Q$376,DATE(2026,11,16),'Agenda 2026'!$M$2:$M$376,1)&gt;=11,CHAR(10)&amp;IFERROR(INDEX('Agenda 2026'!$B$2:$B$376,MATCH(DATE(2026,11,16)*10+11,'Agenda 2026'!$S$2:$S$376,0)),""),"")&amp;IF(COUNTIFS('Agenda 2026'!$Q$2:$Q$376,DATE(2026,11,16),'Agenda 2026'!$M$2:$M$376,1)&gt;=12,CHAR(10)&amp;IFERROR(INDEX('Agenda 2026'!$B$2:$B$376,MATCH(DATE(2026,11,16)*10+12,'Agenda 2026'!$S$2:$S$376,0)),""),"")</f>
        <v>16</v>
      </c>
      <c r="C103" s="58" t="str">
        <f t="array" ref="C103">17&amp;IF(COUNTIFS('Agenda 2026'!$Q$2:$Q$376,DATE(2026,11,17),'Agenda 2026'!$M$2:$M$376,1)&gt;=1,CHAR(10)&amp;IFERROR(INDEX('Agenda 2026'!$B$2:$B$376,MATCH(DATE(2026,11,17)*10+1,'Agenda 2026'!$S$2:$S$376,0)),""),"")&amp;IF(COUNTIFS('Agenda 2026'!$Q$2:$Q$376,DATE(2026,11,17),'Agenda 2026'!$M$2:$M$376,1)&gt;=2,CHAR(10)&amp;IFERROR(INDEX('Agenda 2026'!$B$2:$B$376,MATCH(DATE(2026,11,17)*10+2,'Agenda 2026'!$S$2:$S$376,0)),""),"")&amp;IF(COUNTIFS('Agenda 2026'!$Q$2:$Q$376,DATE(2026,11,17),'Agenda 2026'!$M$2:$M$376,1)&gt;=3,CHAR(10)&amp;IFERROR(INDEX('Agenda 2026'!$B$2:$B$376,MATCH(DATE(2026,11,17)*10+3,'Agenda 2026'!$S$2:$S$376,0)),""),"")&amp;IF(COUNTIFS('Agenda 2026'!$Q$2:$Q$376,DATE(2026,11,17),'Agenda 2026'!$M$2:$M$376,1)&gt;=4,CHAR(10)&amp;IFERROR(INDEX('Agenda 2026'!$B$2:$B$376,MATCH(DATE(2026,11,17)*10+4,'Agenda 2026'!$S$2:$S$376,0)),""),"")&amp;IF(COUNTIFS('Agenda 2026'!$Q$2:$Q$376,DATE(2026,11,17),'Agenda 2026'!$M$2:$M$376,1)&gt;=5,CHAR(10)&amp;IFERROR(INDEX('Agenda 2026'!$B$2:$B$376,MATCH(DATE(2026,11,17)*10+5,'Agenda 2026'!$S$2:$S$376,0)),""),"")&amp;IF(COUNTIFS('Agenda 2026'!$Q$2:$Q$376,DATE(2026,11,17),'Agenda 2026'!$M$2:$M$376,1)&gt;=6,CHAR(10)&amp;IFERROR(INDEX('Agenda 2026'!$B$2:$B$376,MATCH(DATE(2026,11,17)*10+6,'Agenda 2026'!$S$2:$S$376,0)),""),"")&amp;IF(COUNTIFS('Agenda 2026'!$Q$2:$Q$376,DATE(2026,11,17),'Agenda 2026'!$M$2:$M$376,1)&gt;=7,CHAR(10)&amp;IFERROR(INDEX('Agenda 2026'!$B$2:$B$376,MATCH(DATE(2026,11,17)*10+7,'Agenda 2026'!$S$2:$S$376,0)),""),"")&amp;IF(COUNTIFS('Agenda 2026'!$Q$2:$Q$376,DATE(2026,11,17),'Agenda 2026'!$M$2:$M$376,1)&gt;=8,CHAR(10)&amp;IFERROR(INDEX('Agenda 2026'!$B$2:$B$376,MATCH(DATE(2026,11,17)*10+8,'Agenda 2026'!$S$2:$S$376,0)),""),"")&amp;IF(COUNTIFS('Agenda 2026'!$Q$2:$Q$376,DATE(2026,11,17),'Agenda 2026'!$M$2:$M$376,1)&gt;=9,CHAR(10)&amp;IFERROR(INDEX('Agenda 2026'!$B$2:$B$376,MATCH(DATE(2026,11,17)*10+9,'Agenda 2026'!$S$2:$S$376,0)),""),"")&amp;IF(COUNTIFS('Agenda 2026'!$Q$2:$Q$376,DATE(2026,11,17),'Agenda 2026'!$M$2:$M$376,1)&gt;=10,CHAR(10)&amp;IFERROR(INDEX('Agenda 2026'!$B$2:$B$376,MATCH(DATE(2026,11,17)*10+10,'Agenda 2026'!$S$2:$S$376,0)),""),"")&amp;IF(COUNTIFS('Agenda 2026'!$Q$2:$Q$376,DATE(2026,11,17),'Agenda 2026'!$M$2:$M$376,1)&gt;=11,CHAR(10)&amp;IFERROR(INDEX('Agenda 2026'!$B$2:$B$376,MATCH(DATE(2026,11,17)*10+11,'Agenda 2026'!$S$2:$S$376,0)),""),"")&amp;IF(COUNTIFS('Agenda 2026'!$Q$2:$Q$376,DATE(2026,11,17),'Agenda 2026'!$M$2:$M$376,1)&gt;=12,CHAR(10)&amp;IFERROR(INDEX('Agenda 2026'!$B$2:$B$376,MATCH(DATE(2026,11,17)*10+12,'Agenda 2026'!$S$2:$S$376,0)),""),"")</f>
        <v>17</v>
      </c>
      <c r="D103" s="58" t="str">
        <f t="array" ref="D103">18&amp;IF(COUNTIFS('Agenda 2026'!$Q$2:$Q$376,DATE(2026,11,18),'Agenda 2026'!$M$2:$M$376,1)&gt;=1,CHAR(10)&amp;IFERROR(INDEX('Agenda 2026'!$B$2:$B$376,MATCH(DATE(2026,11,18)*10+1,'Agenda 2026'!$S$2:$S$376,0)),""),"")&amp;IF(COUNTIFS('Agenda 2026'!$Q$2:$Q$376,DATE(2026,11,18),'Agenda 2026'!$M$2:$M$376,1)&gt;=2,CHAR(10)&amp;IFERROR(INDEX('Agenda 2026'!$B$2:$B$376,MATCH(DATE(2026,11,18)*10+2,'Agenda 2026'!$S$2:$S$376,0)),""),"")&amp;IF(COUNTIFS('Agenda 2026'!$Q$2:$Q$376,DATE(2026,11,18),'Agenda 2026'!$M$2:$M$376,1)&gt;=3,CHAR(10)&amp;IFERROR(INDEX('Agenda 2026'!$B$2:$B$376,MATCH(DATE(2026,11,18)*10+3,'Agenda 2026'!$S$2:$S$376,0)),""),"")&amp;IF(COUNTIFS('Agenda 2026'!$Q$2:$Q$376,DATE(2026,11,18),'Agenda 2026'!$M$2:$M$376,1)&gt;=4,CHAR(10)&amp;IFERROR(INDEX('Agenda 2026'!$B$2:$B$376,MATCH(DATE(2026,11,18)*10+4,'Agenda 2026'!$S$2:$S$376,0)),""),"")&amp;IF(COUNTIFS('Agenda 2026'!$Q$2:$Q$376,DATE(2026,11,18),'Agenda 2026'!$M$2:$M$376,1)&gt;=5,CHAR(10)&amp;IFERROR(INDEX('Agenda 2026'!$B$2:$B$376,MATCH(DATE(2026,11,18)*10+5,'Agenda 2026'!$S$2:$S$376,0)),""),"")&amp;IF(COUNTIFS('Agenda 2026'!$Q$2:$Q$376,DATE(2026,11,18),'Agenda 2026'!$M$2:$M$376,1)&gt;=6,CHAR(10)&amp;IFERROR(INDEX('Agenda 2026'!$B$2:$B$376,MATCH(DATE(2026,11,18)*10+6,'Agenda 2026'!$S$2:$S$376,0)),""),"")&amp;IF(COUNTIFS('Agenda 2026'!$Q$2:$Q$376,DATE(2026,11,18),'Agenda 2026'!$M$2:$M$376,1)&gt;=7,CHAR(10)&amp;IFERROR(INDEX('Agenda 2026'!$B$2:$B$376,MATCH(DATE(2026,11,18)*10+7,'Agenda 2026'!$S$2:$S$376,0)),""),"")&amp;IF(COUNTIFS('Agenda 2026'!$Q$2:$Q$376,DATE(2026,11,18),'Agenda 2026'!$M$2:$M$376,1)&gt;=8,CHAR(10)&amp;IFERROR(INDEX('Agenda 2026'!$B$2:$B$376,MATCH(DATE(2026,11,18)*10+8,'Agenda 2026'!$S$2:$S$376,0)),""),"")&amp;IF(COUNTIFS('Agenda 2026'!$Q$2:$Q$376,DATE(2026,11,18),'Agenda 2026'!$M$2:$M$376,1)&gt;=9,CHAR(10)&amp;IFERROR(INDEX('Agenda 2026'!$B$2:$B$376,MATCH(DATE(2026,11,18)*10+9,'Agenda 2026'!$S$2:$S$376,0)),""),"")&amp;IF(COUNTIFS('Agenda 2026'!$Q$2:$Q$376,DATE(2026,11,18),'Agenda 2026'!$M$2:$M$376,1)&gt;=10,CHAR(10)&amp;IFERROR(INDEX('Agenda 2026'!$B$2:$B$376,MATCH(DATE(2026,11,18)*10+10,'Agenda 2026'!$S$2:$S$376,0)),""),"")&amp;IF(COUNTIFS('Agenda 2026'!$Q$2:$Q$376,DATE(2026,11,18),'Agenda 2026'!$M$2:$M$376,1)&gt;=11,CHAR(10)&amp;IFERROR(INDEX('Agenda 2026'!$B$2:$B$376,MATCH(DATE(2026,11,18)*10+11,'Agenda 2026'!$S$2:$S$376,0)),""),"")&amp;IF(COUNTIFS('Agenda 2026'!$Q$2:$Q$376,DATE(2026,11,18),'Agenda 2026'!$M$2:$M$376,1)&gt;=12,CHAR(10)&amp;IFERROR(INDEX('Agenda 2026'!$B$2:$B$376,MATCH(DATE(2026,11,18)*10+12,'Agenda 2026'!$S$2:$S$376,0)),""),"")</f>
        <v>18</v>
      </c>
      <c r="E103" s="58" t="str">
        <f t="array" ref="E103">19&amp;IF(COUNTIFS('Agenda 2026'!$Q$2:$Q$376,DATE(2026,11,19),'Agenda 2026'!$M$2:$M$376,1)&gt;=1,CHAR(10)&amp;IFERROR(INDEX('Agenda 2026'!$B$2:$B$376,MATCH(DATE(2026,11,19)*10+1,'Agenda 2026'!$S$2:$S$376,0)),""),"")&amp;IF(COUNTIFS('Agenda 2026'!$Q$2:$Q$376,DATE(2026,11,19),'Agenda 2026'!$M$2:$M$376,1)&gt;=2,CHAR(10)&amp;IFERROR(INDEX('Agenda 2026'!$B$2:$B$376,MATCH(DATE(2026,11,19)*10+2,'Agenda 2026'!$S$2:$S$376,0)),""),"")&amp;IF(COUNTIFS('Agenda 2026'!$Q$2:$Q$376,DATE(2026,11,19),'Agenda 2026'!$M$2:$M$376,1)&gt;=3,CHAR(10)&amp;IFERROR(INDEX('Agenda 2026'!$B$2:$B$376,MATCH(DATE(2026,11,19)*10+3,'Agenda 2026'!$S$2:$S$376,0)),""),"")&amp;IF(COUNTIFS('Agenda 2026'!$Q$2:$Q$376,DATE(2026,11,19),'Agenda 2026'!$M$2:$M$376,1)&gt;=4,CHAR(10)&amp;IFERROR(INDEX('Agenda 2026'!$B$2:$B$376,MATCH(DATE(2026,11,19)*10+4,'Agenda 2026'!$S$2:$S$376,0)),""),"")&amp;IF(COUNTIFS('Agenda 2026'!$Q$2:$Q$376,DATE(2026,11,19),'Agenda 2026'!$M$2:$M$376,1)&gt;=5,CHAR(10)&amp;IFERROR(INDEX('Agenda 2026'!$B$2:$B$376,MATCH(DATE(2026,11,19)*10+5,'Agenda 2026'!$S$2:$S$376,0)),""),"")&amp;IF(COUNTIFS('Agenda 2026'!$Q$2:$Q$376,DATE(2026,11,19),'Agenda 2026'!$M$2:$M$376,1)&gt;=6,CHAR(10)&amp;IFERROR(INDEX('Agenda 2026'!$B$2:$B$376,MATCH(DATE(2026,11,19)*10+6,'Agenda 2026'!$S$2:$S$376,0)),""),"")&amp;IF(COUNTIFS('Agenda 2026'!$Q$2:$Q$376,DATE(2026,11,19),'Agenda 2026'!$M$2:$M$376,1)&gt;=7,CHAR(10)&amp;IFERROR(INDEX('Agenda 2026'!$B$2:$B$376,MATCH(DATE(2026,11,19)*10+7,'Agenda 2026'!$S$2:$S$376,0)),""),"")&amp;IF(COUNTIFS('Agenda 2026'!$Q$2:$Q$376,DATE(2026,11,19),'Agenda 2026'!$M$2:$M$376,1)&gt;=8,CHAR(10)&amp;IFERROR(INDEX('Agenda 2026'!$B$2:$B$376,MATCH(DATE(2026,11,19)*10+8,'Agenda 2026'!$S$2:$S$376,0)),""),"")&amp;IF(COUNTIFS('Agenda 2026'!$Q$2:$Q$376,DATE(2026,11,19),'Agenda 2026'!$M$2:$M$376,1)&gt;=9,CHAR(10)&amp;IFERROR(INDEX('Agenda 2026'!$B$2:$B$376,MATCH(DATE(2026,11,19)*10+9,'Agenda 2026'!$S$2:$S$376,0)),""),"")&amp;IF(COUNTIFS('Agenda 2026'!$Q$2:$Q$376,DATE(2026,11,19),'Agenda 2026'!$M$2:$M$376,1)&gt;=10,CHAR(10)&amp;IFERROR(INDEX('Agenda 2026'!$B$2:$B$376,MATCH(DATE(2026,11,19)*10+10,'Agenda 2026'!$S$2:$S$376,0)),""),"")&amp;IF(COUNTIFS('Agenda 2026'!$Q$2:$Q$376,DATE(2026,11,19),'Agenda 2026'!$M$2:$M$376,1)&gt;=11,CHAR(10)&amp;IFERROR(INDEX('Agenda 2026'!$B$2:$B$376,MATCH(DATE(2026,11,19)*10+11,'Agenda 2026'!$S$2:$S$376,0)),""),"")&amp;IF(COUNTIFS('Agenda 2026'!$Q$2:$Q$376,DATE(2026,11,19),'Agenda 2026'!$M$2:$M$376,1)&gt;=12,CHAR(10)&amp;IFERROR(INDEX('Agenda 2026'!$B$2:$B$376,MATCH(DATE(2026,11,19)*10+12,'Agenda 2026'!$S$2:$S$376,0)),""),"")</f>
        <v>19</v>
      </c>
      <c r="F103" s="58" t="str">
        <f t="array" ref="F103">20&amp;IF(COUNTIFS('Agenda 2026'!$Q$2:$Q$376,DATE(2026,11,20),'Agenda 2026'!$M$2:$M$376,1)&gt;=1,CHAR(10)&amp;IFERROR(INDEX('Agenda 2026'!$B$2:$B$376,MATCH(DATE(2026,11,20)*10+1,'Agenda 2026'!$S$2:$S$376,0)),""),"")&amp;IF(COUNTIFS('Agenda 2026'!$Q$2:$Q$376,DATE(2026,11,20),'Agenda 2026'!$M$2:$M$376,1)&gt;=2,CHAR(10)&amp;IFERROR(INDEX('Agenda 2026'!$B$2:$B$376,MATCH(DATE(2026,11,20)*10+2,'Agenda 2026'!$S$2:$S$376,0)),""),"")&amp;IF(COUNTIFS('Agenda 2026'!$Q$2:$Q$376,DATE(2026,11,20),'Agenda 2026'!$M$2:$M$376,1)&gt;=3,CHAR(10)&amp;IFERROR(INDEX('Agenda 2026'!$B$2:$B$376,MATCH(DATE(2026,11,20)*10+3,'Agenda 2026'!$S$2:$S$376,0)),""),"")&amp;IF(COUNTIFS('Agenda 2026'!$Q$2:$Q$376,DATE(2026,11,20),'Agenda 2026'!$M$2:$M$376,1)&gt;=4,CHAR(10)&amp;IFERROR(INDEX('Agenda 2026'!$B$2:$B$376,MATCH(DATE(2026,11,20)*10+4,'Agenda 2026'!$S$2:$S$376,0)),""),"")&amp;IF(COUNTIFS('Agenda 2026'!$Q$2:$Q$376,DATE(2026,11,20),'Agenda 2026'!$M$2:$M$376,1)&gt;=5,CHAR(10)&amp;IFERROR(INDEX('Agenda 2026'!$B$2:$B$376,MATCH(DATE(2026,11,20)*10+5,'Agenda 2026'!$S$2:$S$376,0)),""),"")&amp;IF(COUNTIFS('Agenda 2026'!$Q$2:$Q$376,DATE(2026,11,20),'Agenda 2026'!$M$2:$M$376,1)&gt;=6,CHAR(10)&amp;IFERROR(INDEX('Agenda 2026'!$B$2:$B$376,MATCH(DATE(2026,11,20)*10+6,'Agenda 2026'!$S$2:$S$376,0)),""),"")&amp;IF(COUNTIFS('Agenda 2026'!$Q$2:$Q$376,DATE(2026,11,20),'Agenda 2026'!$M$2:$M$376,1)&gt;=7,CHAR(10)&amp;IFERROR(INDEX('Agenda 2026'!$B$2:$B$376,MATCH(DATE(2026,11,20)*10+7,'Agenda 2026'!$S$2:$S$376,0)),""),"")&amp;IF(COUNTIFS('Agenda 2026'!$Q$2:$Q$376,DATE(2026,11,20),'Agenda 2026'!$M$2:$M$376,1)&gt;=8,CHAR(10)&amp;IFERROR(INDEX('Agenda 2026'!$B$2:$B$376,MATCH(DATE(2026,11,20)*10+8,'Agenda 2026'!$S$2:$S$376,0)),""),"")&amp;IF(COUNTIFS('Agenda 2026'!$Q$2:$Q$376,DATE(2026,11,20),'Agenda 2026'!$M$2:$M$376,1)&gt;=9,CHAR(10)&amp;IFERROR(INDEX('Agenda 2026'!$B$2:$B$376,MATCH(DATE(2026,11,20)*10+9,'Agenda 2026'!$S$2:$S$376,0)),""),"")&amp;IF(COUNTIFS('Agenda 2026'!$Q$2:$Q$376,DATE(2026,11,20),'Agenda 2026'!$M$2:$M$376,1)&gt;=10,CHAR(10)&amp;IFERROR(INDEX('Agenda 2026'!$B$2:$B$376,MATCH(DATE(2026,11,20)*10+10,'Agenda 2026'!$S$2:$S$376,0)),""),"")&amp;IF(COUNTIFS('Agenda 2026'!$Q$2:$Q$376,DATE(2026,11,20),'Agenda 2026'!$M$2:$M$376,1)&gt;=11,CHAR(10)&amp;IFERROR(INDEX('Agenda 2026'!$B$2:$B$376,MATCH(DATE(2026,11,20)*10+11,'Agenda 2026'!$S$2:$S$376,0)),""),"")&amp;IF(COUNTIFS('Agenda 2026'!$Q$2:$Q$376,DATE(2026,11,20),'Agenda 2026'!$M$2:$M$376,1)&gt;=12,CHAR(10)&amp;IFERROR(INDEX('Agenda 2026'!$B$2:$B$376,MATCH(DATE(2026,11,20)*10+12,'Agenda 2026'!$S$2:$S$376,0)),""),"")</f>
        <v>20</v>
      </c>
      <c r="G103" s="58" t="str">
        <f t="array" ref="G103">21&amp;IF(COUNTIFS('Agenda 2026'!$Q$2:$Q$376,DATE(2026,11,21),'Agenda 2026'!$M$2:$M$376,1)&gt;=1,CHAR(10)&amp;IFERROR(INDEX('Agenda 2026'!$B$2:$B$376,MATCH(DATE(2026,11,21)*10+1,'Agenda 2026'!$S$2:$S$376,0)),""),"")&amp;IF(COUNTIFS('Agenda 2026'!$Q$2:$Q$376,DATE(2026,11,21),'Agenda 2026'!$M$2:$M$376,1)&gt;=2,CHAR(10)&amp;IFERROR(INDEX('Agenda 2026'!$B$2:$B$376,MATCH(DATE(2026,11,21)*10+2,'Agenda 2026'!$S$2:$S$376,0)),""),"")&amp;IF(COUNTIFS('Agenda 2026'!$Q$2:$Q$376,DATE(2026,11,21),'Agenda 2026'!$M$2:$M$376,1)&gt;=3,CHAR(10)&amp;IFERROR(INDEX('Agenda 2026'!$B$2:$B$376,MATCH(DATE(2026,11,21)*10+3,'Agenda 2026'!$S$2:$S$376,0)),""),"")&amp;IF(COUNTIFS('Agenda 2026'!$Q$2:$Q$376,DATE(2026,11,21),'Agenda 2026'!$M$2:$M$376,1)&gt;=4,CHAR(10)&amp;IFERROR(INDEX('Agenda 2026'!$B$2:$B$376,MATCH(DATE(2026,11,21)*10+4,'Agenda 2026'!$S$2:$S$376,0)),""),"")&amp;IF(COUNTIFS('Agenda 2026'!$Q$2:$Q$376,DATE(2026,11,21),'Agenda 2026'!$M$2:$M$376,1)&gt;=5,CHAR(10)&amp;IFERROR(INDEX('Agenda 2026'!$B$2:$B$376,MATCH(DATE(2026,11,21)*10+5,'Agenda 2026'!$S$2:$S$376,0)),""),"")&amp;IF(COUNTIFS('Agenda 2026'!$Q$2:$Q$376,DATE(2026,11,21),'Agenda 2026'!$M$2:$M$376,1)&gt;=6,CHAR(10)&amp;IFERROR(INDEX('Agenda 2026'!$B$2:$B$376,MATCH(DATE(2026,11,21)*10+6,'Agenda 2026'!$S$2:$S$376,0)),""),"")&amp;IF(COUNTIFS('Agenda 2026'!$Q$2:$Q$376,DATE(2026,11,21),'Agenda 2026'!$M$2:$M$376,1)&gt;=7,CHAR(10)&amp;IFERROR(INDEX('Agenda 2026'!$B$2:$B$376,MATCH(DATE(2026,11,21)*10+7,'Agenda 2026'!$S$2:$S$376,0)),""),"")&amp;IF(COUNTIFS('Agenda 2026'!$Q$2:$Q$376,DATE(2026,11,21),'Agenda 2026'!$M$2:$M$376,1)&gt;=8,CHAR(10)&amp;IFERROR(INDEX('Agenda 2026'!$B$2:$B$376,MATCH(DATE(2026,11,21)*10+8,'Agenda 2026'!$S$2:$S$376,0)),""),"")&amp;IF(COUNTIFS('Agenda 2026'!$Q$2:$Q$376,DATE(2026,11,21),'Agenda 2026'!$M$2:$M$376,1)&gt;=9,CHAR(10)&amp;IFERROR(INDEX('Agenda 2026'!$B$2:$B$376,MATCH(DATE(2026,11,21)*10+9,'Agenda 2026'!$S$2:$S$376,0)),""),"")&amp;IF(COUNTIFS('Agenda 2026'!$Q$2:$Q$376,DATE(2026,11,21),'Agenda 2026'!$M$2:$M$376,1)&gt;=10,CHAR(10)&amp;IFERROR(INDEX('Agenda 2026'!$B$2:$B$376,MATCH(DATE(2026,11,21)*10+10,'Agenda 2026'!$S$2:$S$376,0)),""),"")&amp;IF(COUNTIFS('Agenda 2026'!$Q$2:$Q$376,DATE(2026,11,21),'Agenda 2026'!$M$2:$M$376,1)&gt;=11,CHAR(10)&amp;IFERROR(INDEX('Agenda 2026'!$B$2:$B$376,MATCH(DATE(2026,11,21)*10+11,'Agenda 2026'!$S$2:$S$376,0)),""),"")&amp;IF(COUNTIFS('Agenda 2026'!$Q$2:$Q$376,DATE(2026,11,21),'Agenda 2026'!$M$2:$M$376,1)&gt;=12,CHAR(10)&amp;IFERROR(INDEX('Agenda 2026'!$B$2:$B$376,MATCH(DATE(2026,11,21)*10+12,'Agenda 2026'!$S$2:$S$376,0)),""),"")</f>
        <v>21</v>
      </c>
      <c r="H103" s="58" t="str">
        <f t="array" ref="H103">22&amp;IF(COUNTIFS('Agenda 2026'!$Q$2:$Q$376,DATE(2026,11,22),'Agenda 2026'!$M$2:$M$376,1)&gt;=1,CHAR(10)&amp;IFERROR(INDEX('Agenda 2026'!$B$2:$B$376,MATCH(DATE(2026,11,22)*10+1,'Agenda 2026'!$S$2:$S$376,0)),""),"")&amp;IF(COUNTIFS('Agenda 2026'!$Q$2:$Q$376,DATE(2026,11,22),'Agenda 2026'!$M$2:$M$376,1)&gt;=2,CHAR(10)&amp;IFERROR(INDEX('Agenda 2026'!$B$2:$B$376,MATCH(DATE(2026,11,22)*10+2,'Agenda 2026'!$S$2:$S$376,0)),""),"")&amp;IF(COUNTIFS('Agenda 2026'!$Q$2:$Q$376,DATE(2026,11,22),'Agenda 2026'!$M$2:$M$376,1)&gt;=3,CHAR(10)&amp;IFERROR(INDEX('Agenda 2026'!$B$2:$B$376,MATCH(DATE(2026,11,22)*10+3,'Agenda 2026'!$S$2:$S$376,0)),""),"")&amp;IF(COUNTIFS('Agenda 2026'!$Q$2:$Q$376,DATE(2026,11,22),'Agenda 2026'!$M$2:$M$376,1)&gt;=4,CHAR(10)&amp;IFERROR(INDEX('Agenda 2026'!$B$2:$B$376,MATCH(DATE(2026,11,22)*10+4,'Agenda 2026'!$S$2:$S$376,0)),""),"")&amp;IF(COUNTIFS('Agenda 2026'!$Q$2:$Q$376,DATE(2026,11,22),'Agenda 2026'!$M$2:$M$376,1)&gt;=5,CHAR(10)&amp;IFERROR(INDEX('Agenda 2026'!$B$2:$B$376,MATCH(DATE(2026,11,22)*10+5,'Agenda 2026'!$S$2:$S$376,0)),""),"")&amp;IF(COUNTIFS('Agenda 2026'!$Q$2:$Q$376,DATE(2026,11,22),'Agenda 2026'!$M$2:$M$376,1)&gt;=6,CHAR(10)&amp;IFERROR(INDEX('Agenda 2026'!$B$2:$B$376,MATCH(DATE(2026,11,22)*10+6,'Agenda 2026'!$S$2:$S$376,0)),""),"")&amp;IF(COUNTIFS('Agenda 2026'!$Q$2:$Q$376,DATE(2026,11,22),'Agenda 2026'!$M$2:$M$376,1)&gt;=7,CHAR(10)&amp;IFERROR(INDEX('Agenda 2026'!$B$2:$B$376,MATCH(DATE(2026,11,22)*10+7,'Agenda 2026'!$S$2:$S$376,0)),""),"")&amp;IF(COUNTIFS('Agenda 2026'!$Q$2:$Q$376,DATE(2026,11,22),'Agenda 2026'!$M$2:$M$376,1)&gt;=8,CHAR(10)&amp;IFERROR(INDEX('Agenda 2026'!$B$2:$B$376,MATCH(DATE(2026,11,22)*10+8,'Agenda 2026'!$S$2:$S$376,0)),""),"")&amp;IF(COUNTIFS('Agenda 2026'!$Q$2:$Q$376,DATE(2026,11,22),'Agenda 2026'!$M$2:$M$376,1)&gt;=9,CHAR(10)&amp;IFERROR(INDEX('Agenda 2026'!$B$2:$B$376,MATCH(DATE(2026,11,22)*10+9,'Agenda 2026'!$S$2:$S$376,0)),""),"")&amp;IF(COUNTIFS('Agenda 2026'!$Q$2:$Q$376,DATE(2026,11,22),'Agenda 2026'!$M$2:$M$376,1)&gt;=10,CHAR(10)&amp;IFERROR(INDEX('Agenda 2026'!$B$2:$B$376,MATCH(DATE(2026,11,22)*10+10,'Agenda 2026'!$S$2:$S$376,0)),""),"")&amp;IF(COUNTIFS('Agenda 2026'!$Q$2:$Q$376,DATE(2026,11,22),'Agenda 2026'!$M$2:$M$376,1)&gt;=11,CHAR(10)&amp;IFERROR(INDEX('Agenda 2026'!$B$2:$B$376,MATCH(DATE(2026,11,22)*10+11,'Agenda 2026'!$S$2:$S$376,0)),""),"")&amp;IF(COUNTIFS('Agenda 2026'!$Q$2:$Q$376,DATE(2026,11,22),'Agenda 2026'!$M$2:$M$376,1)&gt;=12,CHAR(10)&amp;IFERROR(INDEX('Agenda 2026'!$B$2:$B$376,MATCH(DATE(2026,11,22)*10+12,'Agenda 2026'!$S$2:$S$376,0)),""),"")</f>
        <v>22</v>
      </c>
    </row>
    <row r="104" spans="1:8" ht="45.75" customHeight="1" x14ac:dyDescent="0.35">
      <c r="A104" s="17"/>
      <c r="B104" s="58" t="str">
        <f t="array" ref="B104">23&amp;IF(COUNTIFS('Agenda 2026'!$Q$2:$Q$376,DATE(2026,11,23),'Agenda 2026'!$M$2:$M$376,1)&gt;=1,CHAR(10)&amp;IFERROR(INDEX('Agenda 2026'!$B$2:$B$376,MATCH(DATE(2026,11,23)*10+1,'Agenda 2026'!$S$2:$S$376,0)),""),"")&amp;IF(COUNTIFS('Agenda 2026'!$Q$2:$Q$376,DATE(2026,11,23),'Agenda 2026'!$M$2:$M$376,1)&gt;=2,CHAR(10)&amp;IFERROR(INDEX('Agenda 2026'!$B$2:$B$376,MATCH(DATE(2026,11,23)*10+2,'Agenda 2026'!$S$2:$S$376,0)),""),"")&amp;IF(COUNTIFS('Agenda 2026'!$Q$2:$Q$376,DATE(2026,11,23),'Agenda 2026'!$M$2:$M$376,1)&gt;=3,CHAR(10)&amp;IFERROR(INDEX('Agenda 2026'!$B$2:$B$376,MATCH(DATE(2026,11,23)*10+3,'Agenda 2026'!$S$2:$S$376,0)),""),"")&amp;IF(COUNTIFS('Agenda 2026'!$Q$2:$Q$376,DATE(2026,11,23),'Agenda 2026'!$M$2:$M$376,1)&gt;=4,CHAR(10)&amp;IFERROR(INDEX('Agenda 2026'!$B$2:$B$376,MATCH(DATE(2026,11,23)*10+4,'Agenda 2026'!$S$2:$S$376,0)),""),"")&amp;IF(COUNTIFS('Agenda 2026'!$Q$2:$Q$376,DATE(2026,11,23),'Agenda 2026'!$M$2:$M$376,1)&gt;=5,CHAR(10)&amp;IFERROR(INDEX('Agenda 2026'!$B$2:$B$376,MATCH(DATE(2026,11,23)*10+5,'Agenda 2026'!$S$2:$S$376,0)),""),"")&amp;IF(COUNTIFS('Agenda 2026'!$Q$2:$Q$376,DATE(2026,11,23),'Agenda 2026'!$M$2:$M$376,1)&gt;=6,CHAR(10)&amp;IFERROR(INDEX('Agenda 2026'!$B$2:$B$376,MATCH(DATE(2026,11,23)*10+6,'Agenda 2026'!$S$2:$S$376,0)),""),"")&amp;IF(COUNTIFS('Agenda 2026'!$Q$2:$Q$376,DATE(2026,11,23),'Agenda 2026'!$M$2:$M$376,1)&gt;=7,CHAR(10)&amp;IFERROR(INDEX('Agenda 2026'!$B$2:$B$376,MATCH(DATE(2026,11,23)*10+7,'Agenda 2026'!$S$2:$S$376,0)),""),"")&amp;IF(COUNTIFS('Agenda 2026'!$Q$2:$Q$376,DATE(2026,11,23),'Agenda 2026'!$M$2:$M$376,1)&gt;=8,CHAR(10)&amp;IFERROR(INDEX('Agenda 2026'!$B$2:$B$376,MATCH(DATE(2026,11,23)*10+8,'Agenda 2026'!$S$2:$S$376,0)),""),"")&amp;IF(COUNTIFS('Agenda 2026'!$Q$2:$Q$376,DATE(2026,11,23),'Agenda 2026'!$M$2:$M$376,1)&gt;=9,CHAR(10)&amp;IFERROR(INDEX('Agenda 2026'!$B$2:$B$376,MATCH(DATE(2026,11,23)*10+9,'Agenda 2026'!$S$2:$S$376,0)),""),"")&amp;IF(COUNTIFS('Agenda 2026'!$Q$2:$Q$376,DATE(2026,11,23),'Agenda 2026'!$M$2:$M$376,1)&gt;=10,CHAR(10)&amp;IFERROR(INDEX('Agenda 2026'!$B$2:$B$376,MATCH(DATE(2026,11,23)*10+10,'Agenda 2026'!$S$2:$S$376,0)),""),"")&amp;IF(COUNTIFS('Agenda 2026'!$Q$2:$Q$376,DATE(2026,11,23),'Agenda 2026'!$M$2:$M$376,1)&gt;=11,CHAR(10)&amp;IFERROR(INDEX('Agenda 2026'!$B$2:$B$376,MATCH(DATE(2026,11,23)*10+11,'Agenda 2026'!$S$2:$S$376,0)),""),"")&amp;IF(COUNTIFS('Agenda 2026'!$Q$2:$Q$376,DATE(2026,11,23),'Agenda 2026'!$M$2:$M$376,1)&gt;=12,CHAR(10)&amp;IFERROR(INDEX('Agenda 2026'!$B$2:$B$376,MATCH(DATE(2026,11,23)*10+12,'Agenda 2026'!$S$2:$S$376,0)),""),"")</f>
        <v>23</v>
      </c>
      <c r="C104" s="58" t="str">
        <f t="array" ref="C104">24&amp;IF(COUNTIFS('Agenda 2026'!$Q$2:$Q$376,DATE(2026,11,24),'Agenda 2026'!$M$2:$M$376,1)&gt;=1,CHAR(10)&amp;IFERROR(INDEX('Agenda 2026'!$B$2:$B$376,MATCH(DATE(2026,11,24)*10+1,'Agenda 2026'!$S$2:$S$376,0)),""),"")&amp;IF(COUNTIFS('Agenda 2026'!$Q$2:$Q$376,DATE(2026,11,24),'Agenda 2026'!$M$2:$M$376,1)&gt;=2,CHAR(10)&amp;IFERROR(INDEX('Agenda 2026'!$B$2:$B$376,MATCH(DATE(2026,11,24)*10+2,'Agenda 2026'!$S$2:$S$376,0)),""),"")&amp;IF(COUNTIFS('Agenda 2026'!$Q$2:$Q$376,DATE(2026,11,24),'Agenda 2026'!$M$2:$M$376,1)&gt;=3,CHAR(10)&amp;IFERROR(INDEX('Agenda 2026'!$B$2:$B$376,MATCH(DATE(2026,11,24)*10+3,'Agenda 2026'!$S$2:$S$376,0)),""),"")&amp;IF(COUNTIFS('Agenda 2026'!$Q$2:$Q$376,DATE(2026,11,24),'Agenda 2026'!$M$2:$M$376,1)&gt;=4,CHAR(10)&amp;IFERROR(INDEX('Agenda 2026'!$B$2:$B$376,MATCH(DATE(2026,11,24)*10+4,'Agenda 2026'!$S$2:$S$376,0)),""),"")&amp;IF(COUNTIFS('Agenda 2026'!$Q$2:$Q$376,DATE(2026,11,24),'Agenda 2026'!$M$2:$M$376,1)&gt;=5,CHAR(10)&amp;IFERROR(INDEX('Agenda 2026'!$B$2:$B$376,MATCH(DATE(2026,11,24)*10+5,'Agenda 2026'!$S$2:$S$376,0)),""),"")&amp;IF(COUNTIFS('Agenda 2026'!$Q$2:$Q$376,DATE(2026,11,24),'Agenda 2026'!$M$2:$M$376,1)&gt;=6,CHAR(10)&amp;IFERROR(INDEX('Agenda 2026'!$B$2:$B$376,MATCH(DATE(2026,11,24)*10+6,'Agenda 2026'!$S$2:$S$376,0)),""),"")&amp;IF(COUNTIFS('Agenda 2026'!$Q$2:$Q$376,DATE(2026,11,24),'Agenda 2026'!$M$2:$M$376,1)&gt;=7,CHAR(10)&amp;IFERROR(INDEX('Agenda 2026'!$B$2:$B$376,MATCH(DATE(2026,11,24)*10+7,'Agenda 2026'!$S$2:$S$376,0)),""),"")&amp;IF(COUNTIFS('Agenda 2026'!$Q$2:$Q$376,DATE(2026,11,24),'Agenda 2026'!$M$2:$M$376,1)&gt;=8,CHAR(10)&amp;IFERROR(INDEX('Agenda 2026'!$B$2:$B$376,MATCH(DATE(2026,11,24)*10+8,'Agenda 2026'!$S$2:$S$376,0)),""),"")&amp;IF(COUNTIFS('Agenda 2026'!$Q$2:$Q$376,DATE(2026,11,24),'Agenda 2026'!$M$2:$M$376,1)&gt;=9,CHAR(10)&amp;IFERROR(INDEX('Agenda 2026'!$B$2:$B$376,MATCH(DATE(2026,11,24)*10+9,'Agenda 2026'!$S$2:$S$376,0)),""),"")&amp;IF(COUNTIFS('Agenda 2026'!$Q$2:$Q$376,DATE(2026,11,24),'Agenda 2026'!$M$2:$M$376,1)&gt;=10,CHAR(10)&amp;IFERROR(INDEX('Agenda 2026'!$B$2:$B$376,MATCH(DATE(2026,11,24)*10+10,'Agenda 2026'!$S$2:$S$376,0)),""),"")&amp;IF(COUNTIFS('Agenda 2026'!$Q$2:$Q$376,DATE(2026,11,24),'Agenda 2026'!$M$2:$M$376,1)&gt;=11,CHAR(10)&amp;IFERROR(INDEX('Agenda 2026'!$B$2:$B$376,MATCH(DATE(2026,11,24)*10+11,'Agenda 2026'!$S$2:$S$376,0)),""),"")&amp;IF(COUNTIFS('Agenda 2026'!$Q$2:$Q$376,DATE(2026,11,24),'Agenda 2026'!$M$2:$M$376,1)&gt;=12,CHAR(10)&amp;IFERROR(INDEX('Agenda 2026'!$B$2:$B$376,MATCH(DATE(2026,11,24)*10+12,'Agenda 2026'!$S$2:$S$376,0)),""),"")</f>
        <v>24</v>
      </c>
      <c r="D104" s="58" t="str">
        <f t="array" ref="D104">25&amp;IF(COUNTIFS('Agenda 2026'!$Q$2:$Q$376,DATE(2026,11,25),'Agenda 2026'!$M$2:$M$376,1)&gt;=1,CHAR(10)&amp;IFERROR(INDEX('Agenda 2026'!$B$2:$B$376,MATCH(DATE(2026,11,25)*10+1,'Agenda 2026'!$S$2:$S$376,0)),""),"")&amp;IF(COUNTIFS('Agenda 2026'!$Q$2:$Q$376,DATE(2026,11,25),'Agenda 2026'!$M$2:$M$376,1)&gt;=2,CHAR(10)&amp;IFERROR(INDEX('Agenda 2026'!$B$2:$B$376,MATCH(DATE(2026,11,25)*10+2,'Agenda 2026'!$S$2:$S$376,0)),""),"")&amp;IF(COUNTIFS('Agenda 2026'!$Q$2:$Q$376,DATE(2026,11,25),'Agenda 2026'!$M$2:$M$376,1)&gt;=3,CHAR(10)&amp;IFERROR(INDEX('Agenda 2026'!$B$2:$B$376,MATCH(DATE(2026,11,25)*10+3,'Agenda 2026'!$S$2:$S$376,0)),""),"")&amp;IF(COUNTIFS('Agenda 2026'!$Q$2:$Q$376,DATE(2026,11,25),'Agenda 2026'!$M$2:$M$376,1)&gt;=4,CHAR(10)&amp;IFERROR(INDEX('Agenda 2026'!$B$2:$B$376,MATCH(DATE(2026,11,25)*10+4,'Agenda 2026'!$S$2:$S$376,0)),""),"")&amp;IF(COUNTIFS('Agenda 2026'!$Q$2:$Q$376,DATE(2026,11,25),'Agenda 2026'!$M$2:$M$376,1)&gt;=5,CHAR(10)&amp;IFERROR(INDEX('Agenda 2026'!$B$2:$B$376,MATCH(DATE(2026,11,25)*10+5,'Agenda 2026'!$S$2:$S$376,0)),""),"")&amp;IF(COUNTIFS('Agenda 2026'!$Q$2:$Q$376,DATE(2026,11,25),'Agenda 2026'!$M$2:$M$376,1)&gt;=6,CHAR(10)&amp;IFERROR(INDEX('Agenda 2026'!$B$2:$B$376,MATCH(DATE(2026,11,25)*10+6,'Agenda 2026'!$S$2:$S$376,0)),""),"")&amp;IF(COUNTIFS('Agenda 2026'!$Q$2:$Q$376,DATE(2026,11,25),'Agenda 2026'!$M$2:$M$376,1)&gt;=7,CHAR(10)&amp;IFERROR(INDEX('Agenda 2026'!$B$2:$B$376,MATCH(DATE(2026,11,25)*10+7,'Agenda 2026'!$S$2:$S$376,0)),""),"")&amp;IF(COUNTIFS('Agenda 2026'!$Q$2:$Q$376,DATE(2026,11,25),'Agenda 2026'!$M$2:$M$376,1)&gt;=8,CHAR(10)&amp;IFERROR(INDEX('Agenda 2026'!$B$2:$B$376,MATCH(DATE(2026,11,25)*10+8,'Agenda 2026'!$S$2:$S$376,0)),""),"")&amp;IF(COUNTIFS('Agenda 2026'!$Q$2:$Q$376,DATE(2026,11,25),'Agenda 2026'!$M$2:$M$376,1)&gt;=9,CHAR(10)&amp;IFERROR(INDEX('Agenda 2026'!$B$2:$B$376,MATCH(DATE(2026,11,25)*10+9,'Agenda 2026'!$S$2:$S$376,0)),""),"")&amp;IF(COUNTIFS('Agenda 2026'!$Q$2:$Q$376,DATE(2026,11,25),'Agenda 2026'!$M$2:$M$376,1)&gt;=10,CHAR(10)&amp;IFERROR(INDEX('Agenda 2026'!$B$2:$B$376,MATCH(DATE(2026,11,25)*10+10,'Agenda 2026'!$S$2:$S$376,0)),""),"")&amp;IF(COUNTIFS('Agenda 2026'!$Q$2:$Q$376,DATE(2026,11,25),'Agenda 2026'!$M$2:$M$376,1)&gt;=11,CHAR(10)&amp;IFERROR(INDEX('Agenda 2026'!$B$2:$B$376,MATCH(DATE(2026,11,25)*10+11,'Agenda 2026'!$S$2:$S$376,0)),""),"")&amp;IF(COUNTIFS('Agenda 2026'!$Q$2:$Q$376,DATE(2026,11,25),'Agenda 2026'!$M$2:$M$376,1)&gt;=12,CHAR(10)&amp;IFERROR(INDEX('Agenda 2026'!$B$2:$B$376,MATCH(DATE(2026,11,25)*10+12,'Agenda 2026'!$S$2:$S$376,0)),""),"")</f>
        <v>25</v>
      </c>
      <c r="E104" s="58" t="str">
        <f t="array" ref="E104">26&amp;IF(COUNTIFS('Agenda 2026'!$Q$2:$Q$376,DATE(2026,11,26),'Agenda 2026'!$M$2:$M$376,1)&gt;=1,CHAR(10)&amp;IFERROR(INDEX('Agenda 2026'!$B$2:$B$376,MATCH(DATE(2026,11,26)*10+1,'Agenda 2026'!$S$2:$S$376,0)),""),"")&amp;IF(COUNTIFS('Agenda 2026'!$Q$2:$Q$376,DATE(2026,11,26),'Agenda 2026'!$M$2:$M$376,1)&gt;=2,CHAR(10)&amp;IFERROR(INDEX('Agenda 2026'!$B$2:$B$376,MATCH(DATE(2026,11,26)*10+2,'Agenda 2026'!$S$2:$S$376,0)),""),"")&amp;IF(COUNTIFS('Agenda 2026'!$Q$2:$Q$376,DATE(2026,11,26),'Agenda 2026'!$M$2:$M$376,1)&gt;=3,CHAR(10)&amp;IFERROR(INDEX('Agenda 2026'!$B$2:$B$376,MATCH(DATE(2026,11,26)*10+3,'Agenda 2026'!$S$2:$S$376,0)),""),"")&amp;IF(COUNTIFS('Agenda 2026'!$Q$2:$Q$376,DATE(2026,11,26),'Agenda 2026'!$M$2:$M$376,1)&gt;=4,CHAR(10)&amp;IFERROR(INDEX('Agenda 2026'!$B$2:$B$376,MATCH(DATE(2026,11,26)*10+4,'Agenda 2026'!$S$2:$S$376,0)),""),"")&amp;IF(COUNTIFS('Agenda 2026'!$Q$2:$Q$376,DATE(2026,11,26),'Agenda 2026'!$M$2:$M$376,1)&gt;=5,CHAR(10)&amp;IFERROR(INDEX('Agenda 2026'!$B$2:$B$376,MATCH(DATE(2026,11,26)*10+5,'Agenda 2026'!$S$2:$S$376,0)),""),"")&amp;IF(COUNTIFS('Agenda 2026'!$Q$2:$Q$376,DATE(2026,11,26),'Agenda 2026'!$M$2:$M$376,1)&gt;=6,CHAR(10)&amp;IFERROR(INDEX('Agenda 2026'!$B$2:$B$376,MATCH(DATE(2026,11,26)*10+6,'Agenda 2026'!$S$2:$S$376,0)),""),"")&amp;IF(COUNTIFS('Agenda 2026'!$Q$2:$Q$376,DATE(2026,11,26),'Agenda 2026'!$M$2:$M$376,1)&gt;=7,CHAR(10)&amp;IFERROR(INDEX('Agenda 2026'!$B$2:$B$376,MATCH(DATE(2026,11,26)*10+7,'Agenda 2026'!$S$2:$S$376,0)),""),"")&amp;IF(COUNTIFS('Agenda 2026'!$Q$2:$Q$376,DATE(2026,11,26),'Agenda 2026'!$M$2:$M$376,1)&gt;=8,CHAR(10)&amp;IFERROR(INDEX('Agenda 2026'!$B$2:$B$376,MATCH(DATE(2026,11,26)*10+8,'Agenda 2026'!$S$2:$S$376,0)),""),"")&amp;IF(COUNTIFS('Agenda 2026'!$Q$2:$Q$376,DATE(2026,11,26),'Agenda 2026'!$M$2:$M$376,1)&gt;=9,CHAR(10)&amp;IFERROR(INDEX('Agenda 2026'!$B$2:$B$376,MATCH(DATE(2026,11,26)*10+9,'Agenda 2026'!$S$2:$S$376,0)),""),"")&amp;IF(COUNTIFS('Agenda 2026'!$Q$2:$Q$376,DATE(2026,11,26),'Agenda 2026'!$M$2:$M$376,1)&gt;=10,CHAR(10)&amp;IFERROR(INDEX('Agenda 2026'!$B$2:$B$376,MATCH(DATE(2026,11,26)*10+10,'Agenda 2026'!$S$2:$S$376,0)),""),"")&amp;IF(COUNTIFS('Agenda 2026'!$Q$2:$Q$376,DATE(2026,11,26),'Agenda 2026'!$M$2:$M$376,1)&gt;=11,CHAR(10)&amp;IFERROR(INDEX('Agenda 2026'!$B$2:$B$376,MATCH(DATE(2026,11,26)*10+11,'Agenda 2026'!$S$2:$S$376,0)),""),"")&amp;IF(COUNTIFS('Agenda 2026'!$Q$2:$Q$376,DATE(2026,11,26),'Agenda 2026'!$M$2:$M$376,1)&gt;=12,CHAR(10)&amp;IFERROR(INDEX('Agenda 2026'!$B$2:$B$376,MATCH(DATE(2026,11,26)*10+12,'Agenda 2026'!$S$2:$S$376,0)),""),"")</f>
        <v>26</v>
      </c>
      <c r="F104" s="58" t="str">
        <f t="array" ref="F104">27&amp;IF(COUNTIFS('Agenda 2026'!$Q$2:$Q$376,DATE(2026,11,27),'Agenda 2026'!$M$2:$M$376,1)&gt;=1,CHAR(10)&amp;IFERROR(INDEX('Agenda 2026'!$B$2:$B$376,MATCH(DATE(2026,11,27)*10+1,'Agenda 2026'!$S$2:$S$376,0)),""),"")&amp;IF(COUNTIFS('Agenda 2026'!$Q$2:$Q$376,DATE(2026,11,27),'Agenda 2026'!$M$2:$M$376,1)&gt;=2,CHAR(10)&amp;IFERROR(INDEX('Agenda 2026'!$B$2:$B$376,MATCH(DATE(2026,11,27)*10+2,'Agenda 2026'!$S$2:$S$376,0)),""),"")&amp;IF(COUNTIFS('Agenda 2026'!$Q$2:$Q$376,DATE(2026,11,27),'Agenda 2026'!$M$2:$M$376,1)&gt;=3,CHAR(10)&amp;IFERROR(INDEX('Agenda 2026'!$B$2:$B$376,MATCH(DATE(2026,11,27)*10+3,'Agenda 2026'!$S$2:$S$376,0)),""),"")&amp;IF(COUNTIFS('Agenda 2026'!$Q$2:$Q$376,DATE(2026,11,27),'Agenda 2026'!$M$2:$M$376,1)&gt;=4,CHAR(10)&amp;IFERROR(INDEX('Agenda 2026'!$B$2:$B$376,MATCH(DATE(2026,11,27)*10+4,'Agenda 2026'!$S$2:$S$376,0)),""),"")&amp;IF(COUNTIFS('Agenda 2026'!$Q$2:$Q$376,DATE(2026,11,27),'Agenda 2026'!$M$2:$M$376,1)&gt;=5,CHAR(10)&amp;IFERROR(INDEX('Agenda 2026'!$B$2:$B$376,MATCH(DATE(2026,11,27)*10+5,'Agenda 2026'!$S$2:$S$376,0)),""),"")&amp;IF(COUNTIFS('Agenda 2026'!$Q$2:$Q$376,DATE(2026,11,27),'Agenda 2026'!$M$2:$M$376,1)&gt;=6,CHAR(10)&amp;IFERROR(INDEX('Agenda 2026'!$B$2:$B$376,MATCH(DATE(2026,11,27)*10+6,'Agenda 2026'!$S$2:$S$376,0)),""),"")&amp;IF(COUNTIFS('Agenda 2026'!$Q$2:$Q$376,DATE(2026,11,27),'Agenda 2026'!$M$2:$M$376,1)&gt;=7,CHAR(10)&amp;IFERROR(INDEX('Agenda 2026'!$B$2:$B$376,MATCH(DATE(2026,11,27)*10+7,'Agenda 2026'!$S$2:$S$376,0)),""),"")&amp;IF(COUNTIFS('Agenda 2026'!$Q$2:$Q$376,DATE(2026,11,27),'Agenda 2026'!$M$2:$M$376,1)&gt;=8,CHAR(10)&amp;IFERROR(INDEX('Agenda 2026'!$B$2:$B$376,MATCH(DATE(2026,11,27)*10+8,'Agenda 2026'!$S$2:$S$376,0)),""),"")&amp;IF(COUNTIFS('Agenda 2026'!$Q$2:$Q$376,DATE(2026,11,27),'Agenda 2026'!$M$2:$M$376,1)&gt;=9,CHAR(10)&amp;IFERROR(INDEX('Agenda 2026'!$B$2:$B$376,MATCH(DATE(2026,11,27)*10+9,'Agenda 2026'!$S$2:$S$376,0)),""),"")&amp;IF(COUNTIFS('Agenda 2026'!$Q$2:$Q$376,DATE(2026,11,27),'Agenda 2026'!$M$2:$M$376,1)&gt;=10,CHAR(10)&amp;IFERROR(INDEX('Agenda 2026'!$B$2:$B$376,MATCH(DATE(2026,11,27)*10+10,'Agenda 2026'!$S$2:$S$376,0)),""),"")&amp;IF(COUNTIFS('Agenda 2026'!$Q$2:$Q$376,DATE(2026,11,27),'Agenda 2026'!$M$2:$M$376,1)&gt;=11,CHAR(10)&amp;IFERROR(INDEX('Agenda 2026'!$B$2:$B$376,MATCH(DATE(2026,11,27)*10+11,'Agenda 2026'!$S$2:$S$376,0)),""),"")&amp;IF(COUNTIFS('Agenda 2026'!$Q$2:$Q$376,DATE(2026,11,27),'Agenda 2026'!$M$2:$M$376,1)&gt;=12,CHAR(10)&amp;IFERROR(INDEX('Agenda 2026'!$B$2:$B$376,MATCH(DATE(2026,11,27)*10+12,'Agenda 2026'!$S$2:$S$376,0)),""),"")</f>
        <v>27</v>
      </c>
      <c r="G104" s="58" t="str">
        <f t="array" ref="G104">28&amp;IF(COUNTIFS('Agenda 2026'!$Q$2:$Q$376,DATE(2026,11,28),'Agenda 2026'!$M$2:$M$376,1)&gt;=1,CHAR(10)&amp;IFERROR(INDEX('Agenda 2026'!$B$2:$B$376,MATCH(DATE(2026,11,28)*10+1,'Agenda 2026'!$S$2:$S$376,0)),""),"")&amp;IF(COUNTIFS('Agenda 2026'!$Q$2:$Q$376,DATE(2026,11,28),'Agenda 2026'!$M$2:$M$376,1)&gt;=2,CHAR(10)&amp;IFERROR(INDEX('Agenda 2026'!$B$2:$B$376,MATCH(DATE(2026,11,28)*10+2,'Agenda 2026'!$S$2:$S$376,0)),""),"")&amp;IF(COUNTIFS('Agenda 2026'!$Q$2:$Q$376,DATE(2026,11,28),'Agenda 2026'!$M$2:$M$376,1)&gt;=3,CHAR(10)&amp;IFERROR(INDEX('Agenda 2026'!$B$2:$B$376,MATCH(DATE(2026,11,28)*10+3,'Agenda 2026'!$S$2:$S$376,0)),""),"")&amp;IF(COUNTIFS('Agenda 2026'!$Q$2:$Q$376,DATE(2026,11,28),'Agenda 2026'!$M$2:$M$376,1)&gt;=4,CHAR(10)&amp;IFERROR(INDEX('Agenda 2026'!$B$2:$B$376,MATCH(DATE(2026,11,28)*10+4,'Agenda 2026'!$S$2:$S$376,0)),""),"")&amp;IF(COUNTIFS('Agenda 2026'!$Q$2:$Q$376,DATE(2026,11,28),'Agenda 2026'!$M$2:$M$376,1)&gt;=5,CHAR(10)&amp;IFERROR(INDEX('Agenda 2026'!$B$2:$B$376,MATCH(DATE(2026,11,28)*10+5,'Agenda 2026'!$S$2:$S$376,0)),""),"")&amp;IF(COUNTIFS('Agenda 2026'!$Q$2:$Q$376,DATE(2026,11,28),'Agenda 2026'!$M$2:$M$376,1)&gt;=6,CHAR(10)&amp;IFERROR(INDEX('Agenda 2026'!$B$2:$B$376,MATCH(DATE(2026,11,28)*10+6,'Agenda 2026'!$S$2:$S$376,0)),""),"")&amp;IF(COUNTIFS('Agenda 2026'!$Q$2:$Q$376,DATE(2026,11,28),'Agenda 2026'!$M$2:$M$376,1)&gt;=7,CHAR(10)&amp;IFERROR(INDEX('Agenda 2026'!$B$2:$B$376,MATCH(DATE(2026,11,28)*10+7,'Agenda 2026'!$S$2:$S$376,0)),""),"")&amp;IF(COUNTIFS('Agenda 2026'!$Q$2:$Q$376,DATE(2026,11,28),'Agenda 2026'!$M$2:$M$376,1)&gt;=8,CHAR(10)&amp;IFERROR(INDEX('Agenda 2026'!$B$2:$B$376,MATCH(DATE(2026,11,28)*10+8,'Agenda 2026'!$S$2:$S$376,0)),""),"")&amp;IF(COUNTIFS('Agenda 2026'!$Q$2:$Q$376,DATE(2026,11,28),'Agenda 2026'!$M$2:$M$376,1)&gt;=9,CHAR(10)&amp;IFERROR(INDEX('Agenda 2026'!$B$2:$B$376,MATCH(DATE(2026,11,28)*10+9,'Agenda 2026'!$S$2:$S$376,0)),""),"")&amp;IF(COUNTIFS('Agenda 2026'!$Q$2:$Q$376,DATE(2026,11,28),'Agenda 2026'!$M$2:$M$376,1)&gt;=10,CHAR(10)&amp;IFERROR(INDEX('Agenda 2026'!$B$2:$B$376,MATCH(DATE(2026,11,28)*10+10,'Agenda 2026'!$S$2:$S$376,0)),""),"")&amp;IF(COUNTIFS('Agenda 2026'!$Q$2:$Q$376,DATE(2026,11,28),'Agenda 2026'!$M$2:$M$376,1)&gt;=11,CHAR(10)&amp;IFERROR(INDEX('Agenda 2026'!$B$2:$B$376,MATCH(DATE(2026,11,28)*10+11,'Agenda 2026'!$S$2:$S$376,0)),""),"")&amp;IF(COUNTIFS('Agenda 2026'!$Q$2:$Q$376,DATE(2026,11,28),'Agenda 2026'!$M$2:$M$376,1)&gt;=12,CHAR(10)&amp;IFERROR(INDEX('Agenda 2026'!$B$2:$B$376,MATCH(DATE(2026,11,28)*10+12,'Agenda 2026'!$S$2:$S$376,0)),""),"")</f>
        <v>28</v>
      </c>
      <c r="H104" s="58" t="str">
        <f t="array" ref="H104">29&amp;IF(COUNTIFS('Agenda 2026'!$Q$2:$Q$376,DATE(2026,11,29),'Agenda 2026'!$M$2:$M$376,1)&gt;=1,CHAR(10)&amp;IFERROR(INDEX('Agenda 2026'!$B$2:$B$376,MATCH(DATE(2026,11,29)*10+1,'Agenda 2026'!$S$2:$S$376,0)),""),"")&amp;IF(COUNTIFS('Agenda 2026'!$Q$2:$Q$376,DATE(2026,11,29),'Agenda 2026'!$M$2:$M$376,1)&gt;=2,CHAR(10)&amp;IFERROR(INDEX('Agenda 2026'!$B$2:$B$376,MATCH(DATE(2026,11,29)*10+2,'Agenda 2026'!$S$2:$S$376,0)),""),"")&amp;IF(COUNTIFS('Agenda 2026'!$Q$2:$Q$376,DATE(2026,11,29),'Agenda 2026'!$M$2:$M$376,1)&gt;=3,CHAR(10)&amp;IFERROR(INDEX('Agenda 2026'!$B$2:$B$376,MATCH(DATE(2026,11,29)*10+3,'Agenda 2026'!$S$2:$S$376,0)),""),"")&amp;IF(COUNTIFS('Agenda 2026'!$Q$2:$Q$376,DATE(2026,11,29),'Agenda 2026'!$M$2:$M$376,1)&gt;=4,CHAR(10)&amp;IFERROR(INDEX('Agenda 2026'!$B$2:$B$376,MATCH(DATE(2026,11,29)*10+4,'Agenda 2026'!$S$2:$S$376,0)),""),"")&amp;IF(COUNTIFS('Agenda 2026'!$Q$2:$Q$376,DATE(2026,11,29),'Agenda 2026'!$M$2:$M$376,1)&gt;=5,CHAR(10)&amp;IFERROR(INDEX('Agenda 2026'!$B$2:$B$376,MATCH(DATE(2026,11,29)*10+5,'Agenda 2026'!$S$2:$S$376,0)),""),"")&amp;IF(COUNTIFS('Agenda 2026'!$Q$2:$Q$376,DATE(2026,11,29),'Agenda 2026'!$M$2:$M$376,1)&gt;=6,CHAR(10)&amp;IFERROR(INDEX('Agenda 2026'!$B$2:$B$376,MATCH(DATE(2026,11,29)*10+6,'Agenda 2026'!$S$2:$S$376,0)),""),"")&amp;IF(COUNTIFS('Agenda 2026'!$Q$2:$Q$376,DATE(2026,11,29),'Agenda 2026'!$M$2:$M$376,1)&gt;=7,CHAR(10)&amp;IFERROR(INDEX('Agenda 2026'!$B$2:$B$376,MATCH(DATE(2026,11,29)*10+7,'Agenda 2026'!$S$2:$S$376,0)),""),"")&amp;IF(COUNTIFS('Agenda 2026'!$Q$2:$Q$376,DATE(2026,11,29),'Agenda 2026'!$M$2:$M$376,1)&gt;=8,CHAR(10)&amp;IFERROR(INDEX('Agenda 2026'!$B$2:$B$376,MATCH(DATE(2026,11,29)*10+8,'Agenda 2026'!$S$2:$S$376,0)),""),"")&amp;IF(COUNTIFS('Agenda 2026'!$Q$2:$Q$376,DATE(2026,11,29),'Agenda 2026'!$M$2:$M$376,1)&gt;=9,CHAR(10)&amp;IFERROR(INDEX('Agenda 2026'!$B$2:$B$376,MATCH(DATE(2026,11,29)*10+9,'Agenda 2026'!$S$2:$S$376,0)),""),"")&amp;IF(COUNTIFS('Agenda 2026'!$Q$2:$Q$376,DATE(2026,11,29),'Agenda 2026'!$M$2:$M$376,1)&gt;=10,CHAR(10)&amp;IFERROR(INDEX('Agenda 2026'!$B$2:$B$376,MATCH(DATE(2026,11,29)*10+10,'Agenda 2026'!$S$2:$S$376,0)),""),"")&amp;IF(COUNTIFS('Agenda 2026'!$Q$2:$Q$376,DATE(2026,11,29),'Agenda 2026'!$M$2:$M$376,1)&gt;=11,CHAR(10)&amp;IFERROR(INDEX('Agenda 2026'!$B$2:$B$376,MATCH(DATE(2026,11,29)*10+11,'Agenda 2026'!$S$2:$S$376,0)),""),"")&amp;IF(COUNTIFS('Agenda 2026'!$Q$2:$Q$376,DATE(2026,11,29),'Agenda 2026'!$M$2:$M$376,1)&gt;=12,CHAR(10)&amp;IFERROR(INDEX('Agenda 2026'!$B$2:$B$376,MATCH(DATE(2026,11,29)*10+12,'Agenda 2026'!$S$2:$S$376,0)),""),"")</f>
        <v>29</v>
      </c>
    </row>
    <row r="105" spans="1:8" ht="21.75" customHeight="1" x14ac:dyDescent="0.35">
      <c r="A105" s="17"/>
      <c r="B105" s="58" t="str">
        <f t="array" ref="B105">30&amp;IF(COUNTIFS('Agenda 2026'!$Q$2:$Q$376,DATE(2026,11,30),'Agenda 2026'!$M$2:$M$376,1)&gt;=1,CHAR(10)&amp;IFERROR(INDEX('Agenda 2026'!$B$2:$B$376,MATCH(DATE(2026,11,30)*10+1,'Agenda 2026'!$S$2:$S$376,0)),""),"")&amp;IF(COUNTIFS('Agenda 2026'!$Q$2:$Q$376,DATE(2026,11,30),'Agenda 2026'!$M$2:$M$376,1)&gt;=2,CHAR(10)&amp;IFERROR(INDEX('Agenda 2026'!$B$2:$B$376,MATCH(DATE(2026,11,30)*10+2,'Agenda 2026'!$S$2:$S$376,0)),""),"")&amp;IF(COUNTIFS('Agenda 2026'!$Q$2:$Q$376,DATE(2026,11,30),'Agenda 2026'!$M$2:$M$376,1)&gt;=3,CHAR(10)&amp;IFERROR(INDEX('Agenda 2026'!$B$2:$B$376,MATCH(DATE(2026,11,30)*10+3,'Agenda 2026'!$S$2:$S$376,0)),""),"")&amp;IF(COUNTIFS('Agenda 2026'!$Q$2:$Q$376,DATE(2026,11,30),'Agenda 2026'!$M$2:$M$376,1)&gt;=4,CHAR(10)&amp;IFERROR(INDEX('Agenda 2026'!$B$2:$B$376,MATCH(DATE(2026,11,30)*10+4,'Agenda 2026'!$S$2:$S$376,0)),""),"")&amp;IF(COUNTIFS('Agenda 2026'!$Q$2:$Q$376,DATE(2026,11,30),'Agenda 2026'!$M$2:$M$376,1)&gt;=5,CHAR(10)&amp;IFERROR(INDEX('Agenda 2026'!$B$2:$B$376,MATCH(DATE(2026,11,30)*10+5,'Agenda 2026'!$S$2:$S$376,0)),""),"")&amp;IF(COUNTIFS('Agenda 2026'!$Q$2:$Q$376,DATE(2026,11,30),'Agenda 2026'!$M$2:$M$376,1)&gt;=6,CHAR(10)&amp;IFERROR(INDEX('Agenda 2026'!$B$2:$B$376,MATCH(DATE(2026,11,30)*10+6,'Agenda 2026'!$S$2:$S$376,0)),""),"")&amp;IF(COUNTIFS('Agenda 2026'!$Q$2:$Q$376,DATE(2026,11,30),'Agenda 2026'!$M$2:$M$376,1)&gt;=7,CHAR(10)&amp;IFERROR(INDEX('Agenda 2026'!$B$2:$B$376,MATCH(DATE(2026,11,30)*10+7,'Agenda 2026'!$S$2:$S$376,0)),""),"")&amp;IF(COUNTIFS('Agenda 2026'!$Q$2:$Q$376,DATE(2026,11,30),'Agenda 2026'!$M$2:$M$376,1)&gt;=8,CHAR(10)&amp;IFERROR(INDEX('Agenda 2026'!$B$2:$B$376,MATCH(DATE(2026,11,30)*10+8,'Agenda 2026'!$S$2:$S$376,0)),""),"")&amp;IF(COUNTIFS('Agenda 2026'!$Q$2:$Q$376,DATE(2026,11,30),'Agenda 2026'!$M$2:$M$376,1)&gt;=9,CHAR(10)&amp;IFERROR(INDEX('Agenda 2026'!$B$2:$B$376,MATCH(DATE(2026,11,30)*10+9,'Agenda 2026'!$S$2:$S$376,0)),""),"")&amp;IF(COUNTIFS('Agenda 2026'!$Q$2:$Q$376,DATE(2026,11,30),'Agenda 2026'!$M$2:$M$376,1)&gt;=10,CHAR(10)&amp;IFERROR(INDEX('Agenda 2026'!$B$2:$B$376,MATCH(DATE(2026,11,30)*10+10,'Agenda 2026'!$S$2:$S$376,0)),""),"")&amp;IF(COUNTIFS('Agenda 2026'!$Q$2:$Q$376,DATE(2026,11,30),'Agenda 2026'!$M$2:$M$376,1)&gt;=11,CHAR(10)&amp;IFERROR(INDEX('Agenda 2026'!$B$2:$B$376,MATCH(DATE(2026,11,30)*10+11,'Agenda 2026'!$S$2:$S$376,0)),""),"")&amp;IF(COUNTIFS('Agenda 2026'!$Q$2:$Q$376,DATE(2026,11,30),'Agenda 2026'!$M$2:$M$376,1)&gt;=12,CHAR(10)&amp;IFERROR(INDEX('Agenda 2026'!$B$2:$B$376,MATCH(DATE(2026,11,30)*10+12,'Agenda 2026'!$S$2:$S$376,0)),""),"")</f>
        <v>30</v>
      </c>
      <c r="C105" s="57"/>
      <c r="D105" s="57"/>
      <c r="E105" s="57"/>
      <c r="F105" s="57"/>
      <c r="G105" s="57"/>
      <c r="H105" s="57"/>
    </row>
    <row r="106" spans="1:8" ht="15.75" customHeight="1" x14ac:dyDescent="0.35">
      <c r="A106" s="17"/>
      <c r="B106" s="17"/>
      <c r="C106" s="17"/>
      <c r="D106" s="17"/>
      <c r="E106" s="17"/>
      <c r="F106" s="17"/>
      <c r="G106" s="17"/>
      <c r="H106" s="17"/>
    </row>
    <row r="107" spans="1:8" ht="21.75" customHeight="1" x14ac:dyDescent="0.35">
      <c r="A107" s="17"/>
      <c r="B107" s="10" t="s">
        <v>75</v>
      </c>
      <c r="C107" s="10"/>
      <c r="D107" s="10"/>
      <c r="E107" s="10"/>
      <c r="F107" s="10"/>
      <c r="G107" s="10"/>
      <c r="H107" s="10"/>
    </row>
    <row r="108" spans="1:8" ht="15.75" customHeight="1" x14ac:dyDescent="0.35">
      <c r="A108" s="17"/>
      <c r="B108" s="56" t="s">
        <v>58</v>
      </c>
      <c r="C108" s="56" t="s">
        <v>59</v>
      </c>
      <c r="D108" s="56" t="s">
        <v>60</v>
      </c>
      <c r="E108" s="56" t="s">
        <v>61</v>
      </c>
      <c r="F108" s="56" t="s">
        <v>62</v>
      </c>
      <c r="G108" s="56" t="s">
        <v>63</v>
      </c>
      <c r="H108" s="56" t="s">
        <v>64</v>
      </c>
    </row>
    <row r="109" spans="1:8" ht="33.75" customHeight="1" x14ac:dyDescent="0.35">
      <c r="A109" s="17"/>
      <c r="B109" s="57"/>
      <c r="C109" s="58" t="str">
        <f t="array" ref="C109">1&amp;IF(COUNTIFS('Agenda 2026'!$Q$2:$Q$376,DATE(2026,12,1),'Agenda 2026'!$M$2:$M$376,1)&gt;=1,CHAR(10)&amp;IFERROR(INDEX('Agenda 2026'!$B$2:$B$376,MATCH(DATE(2026,12,1)*10+1,'Agenda 2026'!$S$2:$S$376,0)),""),"")&amp;IF(COUNTIFS('Agenda 2026'!$Q$2:$Q$376,DATE(2026,12,1),'Agenda 2026'!$M$2:$M$376,1)&gt;=2,CHAR(10)&amp;IFERROR(INDEX('Agenda 2026'!$B$2:$B$376,MATCH(DATE(2026,12,1)*10+2,'Agenda 2026'!$S$2:$S$376,0)),""),"")&amp;IF(COUNTIFS('Agenda 2026'!$Q$2:$Q$376,DATE(2026,12,1),'Agenda 2026'!$M$2:$M$376,1)&gt;=3,CHAR(10)&amp;IFERROR(INDEX('Agenda 2026'!$B$2:$B$376,MATCH(DATE(2026,12,1)*10+3,'Agenda 2026'!$S$2:$S$376,0)),""),"")&amp;IF(COUNTIFS('Agenda 2026'!$Q$2:$Q$376,DATE(2026,12,1),'Agenda 2026'!$M$2:$M$376,1)&gt;=4,CHAR(10)&amp;IFERROR(INDEX('Agenda 2026'!$B$2:$B$376,MATCH(DATE(2026,12,1)*10+4,'Agenda 2026'!$S$2:$S$376,0)),""),"")&amp;IF(COUNTIFS('Agenda 2026'!$Q$2:$Q$376,DATE(2026,12,1),'Agenda 2026'!$M$2:$M$376,1)&gt;=5,CHAR(10)&amp;IFERROR(INDEX('Agenda 2026'!$B$2:$B$376,MATCH(DATE(2026,12,1)*10+5,'Agenda 2026'!$S$2:$S$376,0)),""),"")&amp;IF(COUNTIFS('Agenda 2026'!$Q$2:$Q$376,DATE(2026,12,1),'Agenda 2026'!$M$2:$M$376,1)&gt;=6,CHAR(10)&amp;IFERROR(INDEX('Agenda 2026'!$B$2:$B$376,MATCH(DATE(2026,12,1)*10+6,'Agenda 2026'!$S$2:$S$376,0)),""),"")&amp;IF(COUNTIFS('Agenda 2026'!$Q$2:$Q$376,DATE(2026,12,1),'Agenda 2026'!$M$2:$M$376,1)&gt;=7,CHAR(10)&amp;IFERROR(INDEX('Agenda 2026'!$B$2:$B$376,MATCH(DATE(2026,12,1)*10+7,'Agenda 2026'!$S$2:$S$376,0)),""),"")&amp;IF(COUNTIFS('Agenda 2026'!$Q$2:$Q$376,DATE(2026,12,1),'Agenda 2026'!$M$2:$M$376,1)&gt;=8,CHAR(10)&amp;IFERROR(INDEX('Agenda 2026'!$B$2:$B$376,MATCH(DATE(2026,12,1)*10+8,'Agenda 2026'!$S$2:$S$376,0)),""),"")&amp;IF(COUNTIFS('Agenda 2026'!$Q$2:$Q$376,DATE(2026,12,1),'Agenda 2026'!$M$2:$M$376,1)&gt;=9,CHAR(10)&amp;IFERROR(INDEX('Agenda 2026'!$B$2:$B$376,MATCH(DATE(2026,12,1)*10+9,'Agenda 2026'!$S$2:$S$376,0)),""),"")&amp;IF(COUNTIFS('Agenda 2026'!$Q$2:$Q$376,DATE(2026,12,1),'Agenda 2026'!$M$2:$M$376,1)&gt;=10,CHAR(10)&amp;IFERROR(INDEX('Agenda 2026'!$B$2:$B$376,MATCH(DATE(2026,12,1)*10+10,'Agenda 2026'!$S$2:$S$376,0)),""),"")&amp;IF(COUNTIFS('Agenda 2026'!$Q$2:$Q$376,DATE(2026,12,1),'Agenda 2026'!$M$2:$M$376,1)&gt;=11,CHAR(10)&amp;IFERROR(INDEX('Agenda 2026'!$B$2:$B$376,MATCH(DATE(2026,12,1)*10+11,'Agenda 2026'!$S$2:$S$376,0)),""),"")&amp;IF(COUNTIFS('Agenda 2026'!$Q$2:$Q$376,DATE(2026,12,1),'Agenda 2026'!$M$2:$M$376,1)&gt;=12,CHAR(10)&amp;IFERROR(INDEX('Agenda 2026'!$B$2:$B$376,MATCH(DATE(2026,12,1)*10+12,'Agenda 2026'!$S$2:$S$376,0)),""),"")</f>
        <v>1</v>
      </c>
      <c r="D109" s="58" t="str">
        <f t="array" ref="D109">2&amp;IF(COUNTIFS('Agenda 2026'!$Q$2:$Q$376,DATE(2026,12,2),'Agenda 2026'!$M$2:$M$376,1)&gt;=1,CHAR(10)&amp;IFERROR(INDEX('Agenda 2026'!$B$2:$B$376,MATCH(DATE(2026,12,2)*10+1,'Agenda 2026'!$S$2:$S$376,0)),""),"")&amp;IF(COUNTIFS('Agenda 2026'!$Q$2:$Q$376,DATE(2026,12,2),'Agenda 2026'!$M$2:$M$376,1)&gt;=2,CHAR(10)&amp;IFERROR(INDEX('Agenda 2026'!$B$2:$B$376,MATCH(DATE(2026,12,2)*10+2,'Agenda 2026'!$S$2:$S$376,0)),""),"")&amp;IF(COUNTIFS('Agenda 2026'!$Q$2:$Q$376,DATE(2026,12,2),'Agenda 2026'!$M$2:$M$376,1)&gt;=3,CHAR(10)&amp;IFERROR(INDEX('Agenda 2026'!$B$2:$B$376,MATCH(DATE(2026,12,2)*10+3,'Agenda 2026'!$S$2:$S$376,0)),""),"")&amp;IF(COUNTIFS('Agenda 2026'!$Q$2:$Q$376,DATE(2026,12,2),'Agenda 2026'!$M$2:$M$376,1)&gt;=4,CHAR(10)&amp;IFERROR(INDEX('Agenda 2026'!$B$2:$B$376,MATCH(DATE(2026,12,2)*10+4,'Agenda 2026'!$S$2:$S$376,0)),""),"")&amp;IF(COUNTIFS('Agenda 2026'!$Q$2:$Q$376,DATE(2026,12,2),'Agenda 2026'!$M$2:$M$376,1)&gt;=5,CHAR(10)&amp;IFERROR(INDEX('Agenda 2026'!$B$2:$B$376,MATCH(DATE(2026,12,2)*10+5,'Agenda 2026'!$S$2:$S$376,0)),""),"")&amp;IF(COUNTIFS('Agenda 2026'!$Q$2:$Q$376,DATE(2026,12,2),'Agenda 2026'!$M$2:$M$376,1)&gt;=6,CHAR(10)&amp;IFERROR(INDEX('Agenda 2026'!$B$2:$B$376,MATCH(DATE(2026,12,2)*10+6,'Agenda 2026'!$S$2:$S$376,0)),""),"")&amp;IF(COUNTIFS('Agenda 2026'!$Q$2:$Q$376,DATE(2026,12,2),'Agenda 2026'!$M$2:$M$376,1)&gt;=7,CHAR(10)&amp;IFERROR(INDEX('Agenda 2026'!$B$2:$B$376,MATCH(DATE(2026,12,2)*10+7,'Agenda 2026'!$S$2:$S$376,0)),""),"")&amp;IF(COUNTIFS('Agenda 2026'!$Q$2:$Q$376,DATE(2026,12,2),'Agenda 2026'!$M$2:$M$376,1)&gt;=8,CHAR(10)&amp;IFERROR(INDEX('Agenda 2026'!$B$2:$B$376,MATCH(DATE(2026,12,2)*10+8,'Agenda 2026'!$S$2:$S$376,0)),""),"")&amp;IF(COUNTIFS('Agenda 2026'!$Q$2:$Q$376,DATE(2026,12,2),'Agenda 2026'!$M$2:$M$376,1)&gt;=9,CHAR(10)&amp;IFERROR(INDEX('Agenda 2026'!$B$2:$B$376,MATCH(DATE(2026,12,2)*10+9,'Agenda 2026'!$S$2:$S$376,0)),""),"")&amp;IF(COUNTIFS('Agenda 2026'!$Q$2:$Q$376,DATE(2026,12,2),'Agenda 2026'!$M$2:$M$376,1)&gt;=10,CHAR(10)&amp;IFERROR(INDEX('Agenda 2026'!$B$2:$B$376,MATCH(DATE(2026,12,2)*10+10,'Agenda 2026'!$S$2:$S$376,0)),""),"")&amp;IF(COUNTIFS('Agenda 2026'!$Q$2:$Q$376,DATE(2026,12,2),'Agenda 2026'!$M$2:$M$376,1)&gt;=11,CHAR(10)&amp;IFERROR(INDEX('Agenda 2026'!$B$2:$B$376,MATCH(DATE(2026,12,2)*10+11,'Agenda 2026'!$S$2:$S$376,0)),""),"")&amp;IF(COUNTIFS('Agenda 2026'!$Q$2:$Q$376,DATE(2026,12,2),'Agenda 2026'!$M$2:$M$376,1)&gt;=12,CHAR(10)&amp;IFERROR(INDEX('Agenda 2026'!$B$2:$B$376,MATCH(DATE(2026,12,2)*10+12,'Agenda 2026'!$S$2:$S$376,0)),""),"")</f>
        <v>2</v>
      </c>
      <c r="E109" s="58" t="str">
        <f t="array" ref="E109">3&amp;IF(COUNTIFS('Agenda 2026'!$Q$2:$Q$376,DATE(2026,12,3),'Agenda 2026'!$M$2:$M$376,1)&gt;=1,CHAR(10)&amp;IFERROR(INDEX('Agenda 2026'!$B$2:$B$376,MATCH(DATE(2026,12,3)*10+1,'Agenda 2026'!$S$2:$S$376,0)),""),"")&amp;IF(COUNTIFS('Agenda 2026'!$Q$2:$Q$376,DATE(2026,12,3),'Agenda 2026'!$M$2:$M$376,1)&gt;=2,CHAR(10)&amp;IFERROR(INDEX('Agenda 2026'!$B$2:$B$376,MATCH(DATE(2026,12,3)*10+2,'Agenda 2026'!$S$2:$S$376,0)),""),"")&amp;IF(COUNTIFS('Agenda 2026'!$Q$2:$Q$376,DATE(2026,12,3),'Agenda 2026'!$M$2:$M$376,1)&gt;=3,CHAR(10)&amp;IFERROR(INDEX('Agenda 2026'!$B$2:$B$376,MATCH(DATE(2026,12,3)*10+3,'Agenda 2026'!$S$2:$S$376,0)),""),"")&amp;IF(COUNTIFS('Agenda 2026'!$Q$2:$Q$376,DATE(2026,12,3),'Agenda 2026'!$M$2:$M$376,1)&gt;=4,CHAR(10)&amp;IFERROR(INDEX('Agenda 2026'!$B$2:$B$376,MATCH(DATE(2026,12,3)*10+4,'Agenda 2026'!$S$2:$S$376,0)),""),"")&amp;IF(COUNTIFS('Agenda 2026'!$Q$2:$Q$376,DATE(2026,12,3),'Agenda 2026'!$M$2:$M$376,1)&gt;=5,CHAR(10)&amp;IFERROR(INDEX('Agenda 2026'!$B$2:$B$376,MATCH(DATE(2026,12,3)*10+5,'Agenda 2026'!$S$2:$S$376,0)),""),"")&amp;IF(COUNTIFS('Agenda 2026'!$Q$2:$Q$376,DATE(2026,12,3),'Agenda 2026'!$M$2:$M$376,1)&gt;=6,CHAR(10)&amp;IFERROR(INDEX('Agenda 2026'!$B$2:$B$376,MATCH(DATE(2026,12,3)*10+6,'Agenda 2026'!$S$2:$S$376,0)),""),"")&amp;IF(COUNTIFS('Agenda 2026'!$Q$2:$Q$376,DATE(2026,12,3),'Agenda 2026'!$M$2:$M$376,1)&gt;=7,CHAR(10)&amp;IFERROR(INDEX('Agenda 2026'!$B$2:$B$376,MATCH(DATE(2026,12,3)*10+7,'Agenda 2026'!$S$2:$S$376,0)),""),"")&amp;IF(COUNTIFS('Agenda 2026'!$Q$2:$Q$376,DATE(2026,12,3),'Agenda 2026'!$M$2:$M$376,1)&gt;=8,CHAR(10)&amp;IFERROR(INDEX('Agenda 2026'!$B$2:$B$376,MATCH(DATE(2026,12,3)*10+8,'Agenda 2026'!$S$2:$S$376,0)),""),"")&amp;IF(COUNTIFS('Agenda 2026'!$Q$2:$Q$376,DATE(2026,12,3),'Agenda 2026'!$M$2:$M$376,1)&gt;=9,CHAR(10)&amp;IFERROR(INDEX('Agenda 2026'!$B$2:$B$376,MATCH(DATE(2026,12,3)*10+9,'Agenda 2026'!$S$2:$S$376,0)),""),"")&amp;IF(COUNTIFS('Agenda 2026'!$Q$2:$Q$376,DATE(2026,12,3),'Agenda 2026'!$M$2:$M$376,1)&gt;=10,CHAR(10)&amp;IFERROR(INDEX('Agenda 2026'!$B$2:$B$376,MATCH(DATE(2026,12,3)*10+10,'Agenda 2026'!$S$2:$S$376,0)),""),"")&amp;IF(COUNTIFS('Agenda 2026'!$Q$2:$Q$376,DATE(2026,12,3),'Agenda 2026'!$M$2:$M$376,1)&gt;=11,CHAR(10)&amp;IFERROR(INDEX('Agenda 2026'!$B$2:$B$376,MATCH(DATE(2026,12,3)*10+11,'Agenda 2026'!$S$2:$S$376,0)),""),"")&amp;IF(COUNTIFS('Agenda 2026'!$Q$2:$Q$376,DATE(2026,12,3),'Agenda 2026'!$M$2:$M$376,1)&gt;=12,CHAR(10)&amp;IFERROR(INDEX('Agenda 2026'!$B$2:$B$376,MATCH(DATE(2026,12,3)*10+12,'Agenda 2026'!$S$2:$S$376,0)),""),"")</f>
        <v>3</v>
      </c>
      <c r="F109" s="58" t="str">
        <f t="array" ref="F109">4&amp;IF(COUNTIFS('Agenda 2026'!$Q$2:$Q$376,DATE(2026,12,4),'Agenda 2026'!$M$2:$M$376,1)&gt;=1,CHAR(10)&amp;IFERROR(INDEX('Agenda 2026'!$B$2:$B$376,MATCH(DATE(2026,12,4)*10+1,'Agenda 2026'!$S$2:$S$376,0)),""),"")&amp;IF(COUNTIFS('Agenda 2026'!$Q$2:$Q$376,DATE(2026,12,4),'Agenda 2026'!$M$2:$M$376,1)&gt;=2,CHAR(10)&amp;IFERROR(INDEX('Agenda 2026'!$B$2:$B$376,MATCH(DATE(2026,12,4)*10+2,'Agenda 2026'!$S$2:$S$376,0)),""),"")&amp;IF(COUNTIFS('Agenda 2026'!$Q$2:$Q$376,DATE(2026,12,4),'Agenda 2026'!$M$2:$M$376,1)&gt;=3,CHAR(10)&amp;IFERROR(INDEX('Agenda 2026'!$B$2:$B$376,MATCH(DATE(2026,12,4)*10+3,'Agenda 2026'!$S$2:$S$376,0)),""),"")&amp;IF(COUNTIFS('Agenda 2026'!$Q$2:$Q$376,DATE(2026,12,4),'Agenda 2026'!$M$2:$M$376,1)&gt;=4,CHAR(10)&amp;IFERROR(INDEX('Agenda 2026'!$B$2:$B$376,MATCH(DATE(2026,12,4)*10+4,'Agenda 2026'!$S$2:$S$376,0)),""),"")&amp;IF(COUNTIFS('Agenda 2026'!$Q$2:$Q$376,DATE(2026,12,4),'Agenda 2026'!$M$2:$M$376,1)&gt;=5,CHAR(10)&amp;IFERROR(INDEX('Agenda 2026'!$B$2:$B$376,MATCH(DATE(2026,12,4)*10+5,'Agenda 2026'!$S$2:$S$376,0)),""),"")&amp;IF(COUNTIFS('Agenda 2026'!$Q$2:$Q$376,DATE(2026,12,4),'Agenda 2026'!$M$2:$M$376,1)&gt;=6,CHAR(10)&amp;IFERROR(INDEX('Agenda 2026'!$B$2:$B$376,MATCH(DATE(2026,12,4)*10+6,'Agenda 2026'!$S$2:$S$376,0)),""),"")&amp;IF(COUNTIFS('Agenda 2026'!$Q$2:$Q$376,DATE(2026,12,4),'Agenda 2026'!$M$2:$M$376,1)&gt;=7,CHAR(10)&amp;IFERROR(INDEX('Agenda 2026'!$B$2:$B$376,MATCH(DATE(2026,12,4)*10+7,'Agenda 2026'!$S$2:$S$376,0)),""),"")&amp;IF(COUNTIFS('Agenda 2026'!$Q$2:$Q$376,DATE(2026,12,4),'Agenda 2026'!$M$2:$M$376,1)&gt;=8,CHAR(10)&amp;IFERROR(INDEX('Agenda 2026'!$B$2:$B$376,MATCH(DATE(2026,12,4)*10+8,'Agenda 2026'!$S$2:$S$376,0)),""),"")&amp;IF(COUNTIFS('Agenda 2026'!$Q$2:$Q$376,DATE(2026,12,4),'Agenda 2026'!$M$2:$M$376,1)&gt;=9,CHAR(10)&amp;IFERROR(INDEX('Agenda 2026'!$B$2:$B$376,MATCH(DATE(2026,12,4)*10+9,'Agenda 2026'!$S$2:$S$376,0)),""),"")&amp;IF(COUNTIFS('Agenda 2026'!$Q$2:$Q$376,DATE(2026,12,4),'Agenda 2026'!$M$2:$M$376,1)&gt;=10,CHAR(10)&amp;IFERROR(INDEX('Agenda 2026'!$B$2:$B$376,MATCH(DATE(2026,12,4)*10+10,'Agenda 2026'!$S$2:$S$376,0)),""),"")&amp;IF(COUNTIFS('Agenda 2026'!$Q$2:$Q$376,DATE(2026,12,4),'Agenda 2026'!$M$2:$M$376,1)&gt;=11,CHAR(10)&amp;IFERROR(INDEX('Agenda 2026'!$B$2:$B$376,MATCH(DATE(2026,12,4)*10+11,'Agenda 2026'!$S$2:$S$376,0)),""),"")&amp;IF(COUNTIFS('Agenda 2026'!$Q$2:$Q$376,DATE(2026,12,4),'Agenda 2026'!$M$2:$M$376,1)&gt;=12,CHAR(10)&amp;IFERROR(INDEX('Agenda 2026'!$B$2:$B$376,MATCH(DATE(2026,12,4)*10+12,'Agenda 2026'!$S$2:$S$376,0)),""),"")</f>
        <v>4</v>
      </c>
      <c r="G109" s="58" t="str">
        <f t="array" ref="G109">5&amp;IF(COUNTIFS('Agenda 2026'!$Q$2:$Q$376,DATE(2026,12,5),'Agenda 2026'!$M$2:$M$376,1)&gt;=1,CHAR(10)&amp;IFERROR(INDEX('Agenda 2026'!$B$2:$B$376,MATCH(DATE(2026,12,5)*10+1,'Agenda 2026'!$S$2:$S$376,0)),""),"")&amp;IF(COUNTIFS('Agenda 2026'!$Q$2:$Q$376,DATE(2026,12,5),'Agenda 2026'!$M$2:$M$376,1)&gt;=2,CHAR(10)&amp;IFERROR(INDEX('Agenda 2026'!$B$2:$B$376,MATCH(DATE(2026,12,5)*10+2,'Agenda 2026'!$S$2:$S$376,0)),""),"")&amp;IF(COUNTIFS('Agenda 2026'!$Q$2:$Q$376,DATE(2026,12,5),'Agenda 2026'!$M$2:$M$376,1)&gt;=3,CHAR(10)&amp;IFERROR(INDEX('Agenda 2026'!$B$2:$B$376,MATCH(DATE(2026,12,5)*10+3,'Agenda 2026'!$S$2:$S$376,0)),""),"")&amp;IF(COUNTIFS('Agenda 2026'!$Q$2:$Q$376,DATE(2026,12,5),'Agenda 2026'!$M$2:$M$376,1)&gt;=4,CHAR(10)&amp;IFERROR(INDEX('Agenda 2026'!$B$2:$B$376,MATCH(DATE(2026,12,5)*10+4,'Agenda 2026'!$S$2:$S$376,0)),""),"")&amp;IF(COUNTIFS('Agenda 2026'!$Q$2:$Q$376,DATE(2026,12,5),'Agenda 2026'!$M$2:$M$376,1)&gt;=5,CHAR(10)&amp;IFERROR(INDEX('Agenda 2026'!$B$2:$B$376,MATCH(DATE(2026,12,5)*10+5,'Agenda 2026'!$S$2:$S$376,0)),""),"")&amp;IF(COUNTIFS('Agenda 2026'!$Q$2:$Q$376,DATE(2026,12,5),'Agenda 2026'!$M$2:$M$376,1)&gt;=6,CHAR(10)&amp;IFERROR(INDEX('Agenda 2026'!$B$2:$B$376,MATCH(DATE(2026,12,5)*10+6,'Agenda 2026'!$S$2:$S$376,0)),""),"")&amp;IF(COUNTIFS('Agenda 2026'!$Q$2:$Q$376,DATE(2026,12,5),'Agenda 2026'!$M$2:$M$376,1)&gt;=7,CHAR(10)&amp;IFERROR(INDEX('Agenda 2026'!$B$2:$B$376,MATCH(DATE(2026,12,5)*10+7,'Agenda 2026'!$S$2:$S$376,0)),""),"")&amp;IF(COUNTIFS('Agenda 2026'!$Q$2:$Q$376,DATE(2026,12,5),'Agenda 2026'!$M$2:$M$376,1)&gt;=8,CHAR(10)&amp;IFERROR(INDEX('Agenda 2026'!$B$2:$B$376,MATCH(DATE(2026,12,5)*10+8,'Agenda 2026'!$S$2:$S$376,0)),""),"")&amp;IF(COUNTIFS('Agenda 2026'!$Q$2:$Q$376,DATE(2026,12,5),'Agenda 2026'!$M$2:$M$376,1)&gt;=9,CHAR(10)&amp;IFERROR(INDEX('Agenda 2026'!$B$2:$B$376,MATCH(DATE(2026,12,5)*10+9,'Agenda 2026'!$S$2:$S$376,0)),""),"")&amp;IF(COUNTIFS('Agenda 2026'!$Q$2:$Q$376,DATE(2026,12,5),'Agenda 2026'!$M$2:$M$376,1)&gt;=10,CHAR(10)&amp;IFERROR(INDEX('Agenda 2026'!$B$2:$B$376,MATCH(DATE(2026,12,5)*10+10,'Agenda 2026'!$S$2:$S$376,0)),""),"")&amp;IF(COUNTIFS('Agenda 2026'!$Q$2:$Q$376,DATE(2026,12,5),'Agenda 2026'!$M$2:$M$376,1)&gt;=11,CHAR(10)&amp;IFERROR(INDEX('Agenda 2026'!$B$2:$B$376,MATCH(DATE(2026,12,5)*10+11,'Agenda 2026'!$S$2:$S$376,0)),""),"")&amp;IF(COUNTIFS('Agenda 2026'!$Q$2:$Q$376,DATE(2026,12,5),'Agenda 2026'!$M$2:$M$376,1)&gt;=12,CHAR(10)&amp;IFERROR(INDEX('Agenda 2026'!$B$2:$B$376,MATCH(DATE(2026,12,5)*10+12,'Agenda 2026'!$S$2:$S$376,0)),""),"")</f>
        <v>5</v>
      </c>
      <c r="H109" s="58" t="str">
        <f t="array" ref="H109">6&amp;IF(COUNTIFS('Agenda 2026'!$Q$2:$Q$376,DATE(2026,12,6),'Agenda 2026'!$M$2:$M$376,1)&gt;=1,CHAR(10)&amp;IFERROR(INDEX('Agenda 2026'!$B$2:$B$376,MATCH(DATE(2026,12,6)*10+1,'Agenda 2026'!$S$2:$S$376,0)),""),"")&amp;IF(COUNTIFS('Agenda 2026'!$Q$2:$Q$376,DATE(2026,12,6),'Agenda 2026'!$M$2:$M$376,1)&gt;=2,CHAR(10)&amp;IFERROR(INDEX('Agenda 2026'!$B$2:$B$376,MATCH(DATE(2026,12,6)*10+2,'Agenda 2026'!$S$2:$S$376,0)),""),"")&amp;IF(COUNTIFS('Agenda 2026'!$Q$2:$Q$376,DATE(2026,12,6),'Agenda 2026'!$M$2:$M$376,1)&gt;=3,CHAR(10)&amp;IFERROR(INDEX('Agenda 2026'!$B$2:$B$376,MATCH(DATE(2026,12,6)*10+3,'Agenda 2026'!$S$2:$S$376,0)),""),"")&amp;IF(COUNTIFS('Agenda 2026'!$Q$2:$Q$376,DATE(2026,12,6),'Agenda 2026'!$M$2:$M$376,1)&gt;=4,CHAR(10)&amp;IFERROR(INDEX('Agenda 2026'!$B$2:$B$376,MATCH(DATE(2026,12,6)*10+4,'Agenda 2026'!$S$2:$S$376,0)),""),"")&amp;IF(COUNTIFS('Agenda 2026'!$Q$2:$Q$376,DATE(2026,12,6),'Agenda 2026'!$M$2:$M$376,1)&gt;=5,CHAR(10)&amp;IFERROR(INDEX('Agenda 2026'!$B$2:$B$376,MATCH(DATE(2026,12,6)*10+5,'Agenda 2026'!$S$2:$S$376,0)),""),"")&amp;IF(COUNTIFS('Agenda 2026'!$Q$2:$Q$376,DATE(2026,12,6),'Agenda 2026'!$M$2:$M$376,1)&gt;=6,CHAR(10)&amp;IFERROR(INDEX('Agenda 2026'!$B$2:$B$376,MATCH(DATE(2026,12,6)*10+6,'Agenda 2026'!$S$2:$S$376,0)),""),"")&amp;IF(COUNTIFS('Agenda 2026'!$Q$2:$Q$376,DATE(2026,12,6),'Agenda 2026'!$M$2:$M$376,1)&gt;=7,CHAR(10)&amp;IFERROR(INDEX('Agenda 2026'!$B$2:$B$376,MATCH(DATE(2026,12,6)*10+7,'Agenda 2026'!$S$2:$S$376,0)),""),"")&amp;IF(COUNTIFS('Agenda 2026'!$Q$2:$Q$376,DATE(2026,12,6),'Agenda 2026'!$M$2:$M$376,1)&gt;=8,CHAR(10)&amp;IFERROR(INDEX('Agenda 2026'!$B$2:$B$376,MATCH(DATE(2026,12,6)*10+8,'Agenda 2026'!$S$2:$S$376,0)),""),"")&amp;IF(COUNTIFS('Agenda 2026'!$Q$2:$Q$376,DATE(2026,12,6),'Agenda 2026'!$M$2:$M$376,1)&gt;=9,CHAR(10)&amp;IFERROR(INDEX('Agenda 2026'!$B$2:$B$376,MATCH(DATE(2026,12,6)*10+9,'Agenda 2026'!$S$2:$S$376,0)),""),"")&amp;IF(COUNTIFS('Agenda 2026'!$Q$2:$Q$376,DATE(2026,12,6),'Agenda 2026'!$M$2:$M$376,1)&gt;=10,CHAR(10)&amp;IFERROR(INDEX('Agenda 2026'!$B$2:$B$376,MATCH(DATE(2026,12,6)*10+10,'Agenda 2026'!$S$2:$S$376,0)),""),"")&amp;IF(COUNTIFS('Agenda 2026'!$Q$2:$Q$376,DATE(2026,12,6),'Agenda 2026'!$M$2:$M$376,1)&gt;=11,CHAR(10)&amp;IFERROR(INDEX('Agenda 2026'!$B$2:$B$376,MATCH(DATE(2026,12,6)*10+11,'Agenda 2026'!$S$2:$S$376,0)),""),"")&amp;IF(COUNTIFS('Agenda 2026'!$Q$2:$Q$376,DATE(2026,12,6),'Agenda 2026'!$M$2:$M$376,1)&gt;=12,CHAR(10)&amp;IFERROR(INDEX('Agenda 2026'!$B$2:$B$376,MATCH(DATE(2026,12,6)*10+12,'Agenda 2026'!$S$2:$S$376,0)),""),"")</f>
        <v>6</v>
      </c>
    </row>
    <row r="110" spans="1:8" ht="45.75" customHeight="1" x14ac:dyDescent="0.35">
      <c r="A110" s="17"/>
      <c r="B110" s="58" t="str">
        <f t="array" ref="B110">7&amp;IF(COUNTIFS('Agenda 2026'!$Q$2:$Q$376,DATE(2026,12,7),'Agenda 2026'!$M$2:$M$376,1)&gt;=1,CHAR(10)&amp;IFERROR(INDEX('Agenda 2026'!$B$2:$B$376,MATCH(DATE(2026,12,7)*10+1,'Agenda 2026'!$S$2:$S$376,0)),""),"")&amp;IF(COUNTIFS('Agenda 2026'!$Q$2:$Q$376,DATE(2026,12,7),'Agenda 2026'!$M$2:$M$376,1)&gt;=2,CHAR(10)&amp;IFERROR(INDEX('Agenda 2026'!$B$2:$B$376,MATCH(DATE(2026,12,7)*10+2,'Agenda 2026'!$S$2:$S$376,0)),""),"")&amp;IF(COUNTIFS('Agenda 2026'!$Q$2:$Q$376,DATE(2026,12,7),'Agenda 2026'!$M$2:$M$376,1)&gt;=3,CHAR(10)&amp;IFERROR(INDEX('Agenda 2026'!$B$2:$B$376,MATCH(DATE(2026,12,7)*10+3,'Agenda 2026'!$S$2:$S$376,0)),""),"")&amp;IF(COUNTIFS('Agenda 2026'!$Q$2:$Q$376,DATE(2026,12,7),'Agenda 2026'!$M$2:$M$376,1)&gt;=4,CHAR(10)&amp;IFERROR(INDEX('Agenda 2026'!$B$2:$B$376,MATCH(DATE(2026,12,7)*10+4,'Agenda 2026'!$S$2:$S$376,0)),""),"")&amp;IF(COUNTIFS('Agenda 2026'!$Q$2:$Q$376,DATE(2026,12,7),'Agenda 2026'!$M$2:$M$376,1)&gt;=5,CHAR(10)&amp;IFERROR(INDEX('Agenda 2026'!$B$2:$B$376,MATCH(DATE(2026,12,7)*10+5,'Agenda 2026'!$S$2:$S$376,0)),""),"")&amp;IF(COUNTIFS('Agenda 2026'!$Q$2:$Q$376,DATE(2026,12,7),'Agenda 2026'!$M$2:$M$376,1)&gt;=6,CHAR(10)&amp;IFERROR(INDEX('Agenda 2026'!$B$2:$B$376,MATCH(DATE(2026,12,7)*10+6,'Agenda 2026'!$S$2:$S$376,0)),""),"")&amp;IF(COUNTIFS('Agenda 2026'!$Q$2:$Q$376,DATE(2026,12,7),'Agenda 2026'!$M$2:$M$376,1)&gt;=7,CHAR(10)&amp;IFERROR(INDEX('Agenda 2026'!$B$2:$B$376,MATCH(DATE(2026,12,7)*10+7,'Agenda 2026'!$S$2:$S$376,0)),""),"")&amp;IF(COUNTIFS('Agenda 2026'!$Q$2:$Q$376,DATE(2026,12,7),'Agenda 2026'!$M$2:$M$376,1)&gt;=8,CHAR(10)&amp;IFERROR(INDEX('Agenda 2026'!$B$2:$B$376,MATCH(DATE(2026,12,7)*10+8,'Agenda 2026'!$S$2:$S$376,0)),""),"")&amp;IF(COUNTIFS('Agenda 2026'!$Q$2:$Q$376,DATE(2026,12,7),'Agenda 2026'!$M$2:$M$376,1)&gt;=9,CHAR(10)&amp;IFERROR(INDEX('Agenda 2026'!$B$2:$B$376,MATCH(DATE(2026,12,7)*10+9,'Agenda 2026'!$S$2:$S$376,0)),""),"")&amp;IF(COUNTIFS('Agenda 2026'!$Q$2:$Q$376,DATE(2026,12,7),'Agenda 2026'!$M$2:$M$376,1)&gt;=10,CHAR(10)&amp;IFERROR(INDEX('Agenda 2026'!$B$2:$B$376,MATCH(DATE(2026,12,7)*10+10,'Agenda 2026'!$S$2:$S$376,0)),""),"")&amp;IF(COUNTIFS('Agenda 2026'!$Q$2:$Q$376,DATE(2026,12,7),'Agenda 2026'!$M$2:$M$376,1)&gt;=11,CHAR(10)&amp;IFERROR(INDEX('Agenda 2026'!$B$2:$B$376,MATCH(DATE(2026,12,7)*10+11,'Agenda 2026'!$S$2:$S$376,0)),""),"")&amp;IF(COUNTIFS('Agenda 2026'!$Q$2:$Q$376,DATE(2026,12,7),'Agenda 2026'!$M$2:$M$376,1)&gt;=12,CHAR(10)&amp;IFERROR(INDEX('Agenda 2026'!$B$2:$B$376,MATCH(DATE(2026,12,7)*10+12,'Agenda 2026'!$S$2:$S$376,0)),""),"")</f>
        <v>7</v>
      </c>
      <c r="C110" s="58" t="str">
        <f t="array" ref="C110">8&amp;IF(COUNTIFS('Agenda 2026'!$Q$2:$Q$376,DATE(2026,12,8),'Agenda 2026'!$M$2:$M$376,1)&gt;=1,CHAR(10)&amp;IFERROR(INDEX('Agenda 2026'!$B$2:$B$376,MATCH(DATE(2026,12,8)*10+1,'Agenda 2026'!$S$2:$S$376,0)),""),"")&amp;IF(COUNTIFS('Agenda 2026'!$Q$2:$Q$376,DATE(2026,12,8),'Agenda 2026'!$M$2:$M$376,1)&gt;=2,CHAR(10)&amp;IFERROR(INDEX('Agenda 2026'!$B$2:$B$376,MATCH(DATE(2026,12,8)*10+2,'Agenda 2026'!$S$2:$S$376,0)),""),"")&amp;IF(COUNTIFS('Agenda 2026'!$Q$2:$Q$376,DATE(2026,12,8),'Agenda 2026'!$M$2:$M$376,1)&gt;=3,CHAR(10)&amp;IFERROR(INDEX('Agenda 2026'!$B$2:$B$376,MATCH(DATE(2026,12,8)*10+3,'Agenda 2026'!$S$2:$S$376,0)),""),"")&amp;IF(COUNTIFS('Agenda 2026'!$Q$2:$Q$376,DATE(2026,12,8),'Agenda 2026'!$M$2:$M$376,1)&gt;=4,CHAR(10)&amp;IFERROR(INDEX('Agenda 2026'!$B$2:$B$376,MATCH(DATE(2026,12,8)*10+4,'Agenda 2026'!$S$2:$S$376,0)),""),"")&amp;IF(COUNTIFS('Agenda 2026'!$Q$2:$Q$376,DATE(2026,12,8),'Agenda 2026'!$M$2:$M$376,1)&gt;=5,CHAR(10)&amp;IFERROR(INDEX('Agenda 2026'!$B$2:$B$376,MATCH(DATE(2026,12,8)*10+5,'Agenda 2026'!$S$2:$S$376,0)),""),"")&amp;IF(COUNTIFS('Agenda 2026'!$Q$2:$Q$376,DATE(2026,12,8),'Agenda 2026'!$M$2:$M$376,1)&gt;=6,CHAR(10)&amp;IFERROR(INDEX('Agenda 2026'!$B$2:$B$376,MATCH(DATE(2026,12,8)*10+6,'Agenda 2026'!$S$2:$S$376,0)),""),"")&amp;IF(COUNTIFS('Agenda 2026'!$Q$2:$Q$376,DATE(2026,12,8),'Agenda 2026'!$M$2:$M$376,1)&gt;=7,CHAR(10)&amp;IFERROR(INDEX('Agenda 2026'!$B$2:$B$376,MATCH(DATE(2026,12,8)*10+7,'Agenda 2026'!$S$2:$S$376,0)),""),"")&amp;IF(COUNTIFS('Agenda 2026'!$Q$2:$Q$376,DATE(2026,12,8),'Agenda 2026'!$M$2:$M$376,1)&gt;=8,CHAR(10)&amp;IFERROR(INDEX('Agenda 2026'!$B$2:$B$376,MATCH(DATE(2026,12,8)*10+8,'Agenda 2026'!$S$2:$S$376,0)),""),"")&amp;IF(COUNTIFS('Agenda 2026'!$Q$2:$Q$376,DATE(2026,12,8),'Agenda 2026'!$M$2:$M$376,1)&gt;=9,CHAR(10)&amp;IFERROR(INDEX('Agenda 2026'!$B$2:$B$376,MATCH(DATE(2026,12,8)*10+9,'Agenda 2026'!$S$2:$S$376,0)),""),"")&amp;IF(COUNTIFS('Agenda 2026'!$Q$2:$Q$376,DATE(2026,12,8),'Agenda 2026'!$M$2:$M$376,1)&gt;=10,CHAR(10)&amp;IFERROR(INDEX('Agenda 2026'!$B$2:$B$376,MATCH(DATE(2026,12,8)*10+10,'Agenda 2026'!$S$2:$S$376,0)),""),"")&amp;IF(COUNTIFS('Agenda 2026'!$Q$2:$Q$376,DATE(2026,12,8),'Agenda 2026'!$M$2:$M$376,1)&gt;=11,CHAR(10)&amp;IFERROR(INDEX('Agenda 2026'!$B$2:$B$376,MATCH(DATE(2026,12,8)*10+11,'Agenda 2026'!$S$2:$S$376,0)),""),"")&amp;IF(COUNTIFS('Agenda 2026'!$Q$2:$Q$376,DATE(2026,12,8),'Agenda 2026'!$M$2:$M$376,1)&gt;=12,CHAR(10)&amp;IFERROR(INDEX('Agenda 2026'!$B$2:$B$376,MATCH(DATE(2026,12,8)*10+12,'Agenda 2026'!$S$2:$S$376,0)),""),"")</f>
        <v>8</v>
      </c>
      <c r="D110" s="58" t="str">
        <f t="array" ref="D110">9&amp;IF(COUNTIFS('Agenda 2026'!$Q$2:$Q$376,DATE(2026,12,9),'Agenda 2026'!$M$2:$M$376,1)&gt;=1,CHAR(10)&amp;IFERROR(INDEX('Agenda 2026'!$B$2:$B$376,MATCH(DATE(2026,12,9)*10+1,'Agenda 2026'!$S$2:$S$376,0)),""),"")&amp;IF(COUNTIFS('Agenda 2026'!$Q$2:$Q$376,DATE(2026,12,9),'Agenda 2026'!$M$2:$M$376,1)&gt;=2,CHAR(10)&amp;IFERROR(INDEX('Agenda 2026'!$B$2:$B$376,MATCH(DATE(2026,12,9)*10+2,'Agenda 2026'!$S$2:$S$376,0)),""),"")&amp;IF(COUNTIFS('Agenda 2026'!$Q$2:$Q$376,DATE(2026,12,9),'Agenda 2026'!$M$2:$M$376,1)&gt;=3,CHAR(10)&amp;IFERROR(INDEX('Agenda 2026'!$B$2:$B$376,MATCH(DATE(2026,12,9)*10+3,'Agenda 2026'!$S$2:$S$376,0)),""),"")&amp;IF(COUNTIFS('Agenda 2026'!$Q$2:$Q$376,DATE(2026,12,9),'Agenda 2026'!$M$2:$M$376,1)&gt;=4,CHAR(10)&amp;IFERROR(INDEX('Agenda 2026'!$B$2:$B$376,MATCH(DATE(2026,12,9)*10+4,'Agenda 2026'!$S$2:$S$376,0)),""),"")&amp;IF(COUNTIFS('Agenda 2026'!$Q$2:$Q$376,DATE(2026,12,9),'Agenda 2026'!$M$2:$M$376,1)&gt;=5,CHAR(10)&amp;IFERROR(INDEX('Agenda 2026'!$B$2:$B$376,MATCH(DATE(2026,12,9)*10+5,'Agenda 2026'!$S$2:$S$376,0)),""),"")&amp;IF(COUNTIFS('Agenda 2026'!$Q$2:$Q$376,DATE(2026,12,9),'Agenda 2026'!$M$2:$M$376,1)&gt;=6,CHAR(10)&amp;IFERROR(INDEX('Agenda 2026'!$B$2:$B$376,MATCH(DATE(2026,12,9)*10+6,'Agenda 2026'!$S$2:$S$376,0)),""),"")&amp;IF(COUNTIFS('Agenda 2026'!$Q$2:$Q$376,DATE(2026,12,9),'Agenda 2026'!$M$2:$M$376,1)&gt;=7,CHAR(10)&amp;IFERROR(INDEX('Agenda 2026'!$B$2:$B$376,MATCH(DATE(2026,12,9)*10+7,'Agenda 2026'!$S$2:$S$376,0)),""),"")&amp;IF(COUNTIFS('Agenda 2026'!$Q$2:$Q$376,DATE(2026,12,9),'Agenda 2026'!$M$2:$M$376,1)&gt;=8,CHAR(10)&amp;IFERROR(INDEX('Agenda 2026'!$B$2:$B$376,MATCH(DATE(2026,12,9)*10+8,'Agenda 2026'!$S$2:$S$376,0)),""),"")&amp;IF(COUNTIFS('Agenda 2026'!$Q$2:$Q$376,DATE(2026,12,9),'Agenda 2026'!$M$2:$M$376,1)&gt;=9,CHAR(10)&amp;IFERROR(INDEX('Agenda 2026'!$B$2:$B$376,MATCH(DATE(2026,12,9)*10+9,'Agenda 2026'!$S$2:$S$376,0)),""),"")&amp;IF(COUNTIFS('Agenda 2026'!$Q$2:$Q$376,DATE(2026,12,9),'Agenda 2026'!$M$2:$M$376,1)&gt;=10,CHAR(10)&amp;IFERROR(INDEX('Agenda 2026'!$B$2:$B$376,MATCH(DATE(2026,12,9)*10+10,'Agenda 2026'!$S$2:$S$376,0)),""),"")&amp;IF(COUNTIFS('Agenda 2026'!$Q$2:$Q$376,DATE(2026,12,9),'Agenda 2026'!$M$2:$M$376,1)&gt;=11,CHAR(10)&amp;IFERROR(INDEX('Agenda 2026'!$B$2:$B$376,MATCH(DATE(2026,12,9)*10+11,'Agenda 2026'!$S$2:$S$376,0)),""),"")&amp;IF(COUNTIFS('Agenda 2026'!$Q$2:$Q$376,DATE(2026,12,9),'Agenda 2026'!$M$2:$M$376,1)&gt;=12,CHAR(10)&amp;IFERROR(INDEX('Agenda 2026'!$B$2:$B$376,MATCH(DATE(2026,12,9)*10+12,'Agenda 2026'!$S$2:$S$376,0)),""),"")</f>
        <v>9</v>
      </c>
      <c r="E110" s="58" t="str">
        <f t="array" ref="E110">10&amp;IF(COUNTIFS('Agenda 2026'!$Q$2:$Q$376,DATE(2026,12,10),'Agenda 2026'!$M$2:$M$376,1)&gt;=1,CHAR(10)&amp;IFERROR(INDEX('Agenda 2026'!$B$2:$B$376,MATCH(DATE(2026,12,10)*10+1,'Agenda 2026'!$S$2:$S$376,0)),""),"")&amp;IF(COUNTIFS('Agenda 2026'!$Q$2:$Q$376,DATE(2026,12,10),'Agenda 2026'!$M$2:$M$376,1)&gt;=2,CHAR(10)&amp;IFERROR(INDEX('Agenda 2026'!$B$2:$B$376,MATCH(DATE(2026,12,10)*10+2,'Agenda 2026'!$S$2:$S$376,0)),""),"")&amp;IF(COUNTIFS('Agenda 2026'!$Q$2:$Q$376,DATE(2026,12,10),'Agenda 2026'!$M$2:$M$376,1)&gt;=3,CHAR(10)&amp;IFERROR(INDEX('Agenda 2026'!$B$2:$B$376,MATCH(DATE(2026,12,10)*10+3,'Agenda 2026'!$S$2:$S$376,0)),""),"")&amp;IF(COUNTIFS('Agenda 2026'!$Q$2:$Q$376,DATE(2026,12,10),'Agenda 2026'!$M$2:$M$376,1)&gt;=4,CHAR(10)&amp;IFERROR(INDEX('Agenda 2026'!$B$2:$B$376,MATCH(DATE(2026,12,10)*10+4,'Agenda 2026'!$S$2:$S$376,0)),""),"")&amp;IF(COUNTIFS('Agenda 2026'!$Q$2:$Q$376,DATE(2026,12,10),'Agenda 2026'!$M$2:$M$376,1)&gt;=5,CHAR(10)&amp;IFERROR(INDEX('Agenda 2026'!$B$2:$B$376,MATCH(DATE(2026,12,10)*10+5,'Agenda 2026'!$S$2:$S$376,0)),""),"")&amp;IF(COUNTIFS('Agenda 2026'!$Q$2:$Q$376,DATE(2026,12,10),'Agenda 2026'!$M$2:$M$376,1)&gt;=6,CHAR(10)&amp;IFERROR(INDEX('Agenda 2026'!$B$2:$B$376,MATCH(DATE(2026,12,10)*10+6,'Agenda 2026'!$S$2:$S$376,0)),""),"")&amp;IF(COUNTIFS('Agenda 2026'!$Q$2:$Q$376,DATE(2026,12,10),'Agenda 2026'!$M$2:$M$376,1)&gt;=7,CHAR(10)&amp;IFERROR(INDEX('Agenda 2026'!$B$2:$B$376,MATCH(DATE(2026,12,10)*10+7,'Agenda 2026'!$S$2:$S$376,0)),""),"")&amp;IF(COUNTIFS('Agenda 2026'!$Q$2:$Q$376,DATE(2026,12,10),'Agenda 2026'!$M$2:$M$376,1)&gt;=8,CHAR(10)&amp;IFERROR(INDEX('Agenda 2026'!$B$2:$B$376,MATCH(DATE(2026,12,10)*10+8,'Agenda 2026'!$S$2:$S$376,0)),""),"")&amp;IF(COUNTIFS('Agenda 2026'!$Q$2:$Q$376,DATE(2026,12,10),'Agenda 2026'!$M$2:$M$376,1)&gt;=9,CHAR(10)&amp;IFERROR(INDEX('Agenda 2026'!$B$2:$B$376,MATCH(DATE(2026,12,10)*10+9,'Agenda 2026'!$S$2:$S$376,0)),""),"")&amp;IF(COUNTIFS('Agenda 2026'!$Q$2:$Q$376,DATE(2026,12,10),'Agenda 2026'!$M$2:$M$376,1)&gt;=10,CHAR(10)&amp;IFERROR(INDEX('Agenda 2026'!$B$2:$B$376,MATCH(DATE(2026,12,10)*10+10,'Agenda 2026'!$S$2:$S$376,0)),""),"")&amp;IF(COUNTIFS('Agenda 2026'!$Q$2:$Q$376,DATE(2026,12,10),'Agenda 2026'!$M$2:$M$376,1)&gt;=11,CHAR(10)&amp;IFERROR(INDEX('Agenda 2026'!$B$2:$B$376,MATCH(DATE(2026,12,10)*10+11,'Agenda 2026'!$S$2:$S$376,0)),""),"")&amp;IF(COUNTIFS('Agenda 2026'!$Q$2:$Q$376,DATE(2026,12,10),'Agenda 2026'!$M$2:$M$376,1)&gt;=12,CHAR(10)&amp;IFERROR(INDEX('Agenda 2026'!$B$2:$B$376,MATCH(DATE(2026,12,10)*10+12,'Agenda 2026'!$S$2:$S$376,0)),""),"")</f>
        <v>10</v>
      </c>
      <c r="F110" s="58" t="str">
        <f t="array" ref="F110">11&amp;IF(COUNTIFS('Agenda 2026'!$Q$2:$Q$376,DATE(2026,12,11),'Agenda 2026'!$M$2:$M$376,1)&gt;=1,CHAR(10)&amp;IFERROR(INDEX('Agenda 2026'!$B$2:$B$376,MATCH(DATE(2026,12,11)*10+1,'Agenda 2026'!$S$2:$S$376,0)),""),"")&amp;IF(COUNTIFS('Agenda 2026'!$Q$2:$Q$376,DATE(2026,12,11),'Agenda 2026'!$M$2:$M$376,1)&gt;=2,CHAR(10)&amp;IFERROR(INDEX('Agenda 2026'!$B$2:$B$376,MATCH(DATE(2026,12,11)*10+2,'Agenda 2026'!$S$2:$S$376,0)),""),"")&amp;IF(COUNTIFS('Agenda 2026'!$Q$2:$Q$376,DATE(2026,12,11),'Agenda 2026'!$M$2:$M$376,1)&gt;=3,CHAR(10)&amp;IFERROR(INDEX('Agenda 2026'!$B$2:$B$376,MATCH(DATE(2026,12,11)*10+3,'Agenda 2026'!$S$2:$S$376,0)),""),"")&amp;IF(COUNTIFS('Agenda 2026'!$Q$2:$Q$376,DATE(2026,12,11),'Agenda 2026'!$M$2:$M$376,1)&gt;=4,CHAR(10)&amp;IFERROR(INDEX('Agenda 2026'!$B$2:$B$376,MATCH(DATE(2026,12,11)*10+4,'Agenda 2026'!$S$2:$S$376,0)),""),"")&amp;IF(COUNTIFS('Agenda 2026'!$Q$2:$Q$376,DATE(2026,12,11),'Agenda 2026'!$M$2:$M$376,1)&gt;=5,CHAR(10)&amp;IFERROR(INDEX('Agenda 2026'!$B$2:$B$376,MATCH(DATE(2026,12,11)*10+5,'Agenda 2026'!$S$2:$S$376,0)),""),"")&amp;IF(COUNTIFS('Agenda 2026'!$Q$2:$Q$376,DATE(2026,12,11),'Agenda 2026'!$M$2:$M$376,1)&gt;=6,CHAR(10)&amp;IFERROR(INDEX('Agenda 2026'!$B$2:$B$376,MATCH(DATE(2026,12,11)*10+6,'Agenda 2026'!$S$2:$S$376,0)),""),"")&amp;IF(COUNTIFS('Agenda 2026'!$Q$2:$Q$376,DATE(2026,12,11),'Agenda 2026'!$M$2:$M$376,1)&gt;=7,CHAR(10)&amp;IFERROR(INDEX('Agenda 2026'!$B$2:$B$376,MATCH(DATE(2026,12,11)*10+7,'Agenda 2026'!$S$2:$S$376,0)),""),"")&amp;IF(COUNTIFS('Agenda 2026'!$Q$2:$Q$376,DATE(2026,12,11),'Agenda 2026'!$M$2:$M$376,1)&gt;=8,CHAR(10)&amp;IFERROR(INDEX('Agenda 2026'!$B$2:$B$376,MATCH(DATE(2026,12,11)*10+8,'Agenda 2026'!$S$2:$S$376,0)),""),"")&amp;IF(COUNTIFS('Agenda 2026'!$Q$2:$Q$376,DATE(2026,12,11),'Agenda 2026'!$M$2:$M$376,1)&gt;=9,CHAR(10)&amp;IFERROR(INDEX('Agenda 2026'!$B$2:$B$376,MATCH(DATE(2026,12,11)*10+9,'Agenda 2026'!$S$2:$S$376,0)),""),"")&amp;IF(COUNTIFS('Agenda 2026'!$Q$2:$Q$376,DATE(2026,12,11),'Agenda 2026'!$M$2:$M$376,1)&gt;=10,CHAR(10)&amp;IFERROR(INDEX('Agenda 2026'!$B$2:$B$376,MATCH(DATE(2026,12,11)*10+10,'Agenda 2026'!$S$2:$S$376,0)),""),"")&amp;IF(COUNTIFS('Agenda 2026'!$Q$2:$Q$376,DATE(2026,12,11),'Agenda 2026'!$M$2:$M$376,1)&gt;=11,CHAR(10)&amp;IFERROR(INDEX('Agenda 2026'!$B$2:$B$376,MATCH(DATE(2026,12,11)*10+11,'Agenda 2026'!$S$2:$S$376,0)),""),"")&amp;IF(COUNTIFS('Agenda 2026'!$Q$2:$Q$376,DATE(2026,12,11),'Agenda 2026'!$M$2:$M$376,1)&gt;=12,CHAR(10)&amp;IFERROR(INDEX('Agenda 2026'!$B$2:$B$376,MATCH(DATE(2026,12,11)*10+12,'Agenda 2026'!$S$2:$S$376,0)),""),"")</f>
        <v>11</v>
      </c>
      <c r="G110" s="58" t="str">
        <f t="array" ref="G110">12&amp;IF(COUNTIFS('Agenda 2026'!$Q$2:$Q$376,DATE(2026,12,12),'Agenda 2026'!$M$2:$M$376,1)&gt;=1,CHAR(10)&amp;IFERROR(INDEX('Agenda 2026'!$B$2:$B$376,MATCH(DATE(2026,12,12)*10+1,'Agenda 2026'!$S$2:$S$376,0)),""),"")&amp;IF(COUNTIFS('Agenda 2026'!$Q$2:$Q$376,DATE(2026,12,12),'Agenda 2026'!$M$2:$M$376,1)&gt;=2,CHAR(10)&amp;IFERROR(INDEX('Agenda 2026'!$B$2:$B$376,MATCH(DATE(2026,12,12)*10+2,'Agenda 2026'!$S$2:$S$376,0)),""),"")&amp;IF(COUNTIFS('Agenda 2026'!$Q$2:$Q$376,DATE(2026,12,12),'Agenda 2026'!$M$2:$M$376,1)&gt;=3,CHAR(10)&amp;IFERROR(INDEX('Agenda 2026'!$B$2:$B$376,MATCH(DATE(2026,12,12)*10+3,'Agenda 2026'!$S$2:$S$376,0)),""),"")&amp;IF(COUNTIFS('Agenda 2026'!$Q$2:$Q$376,DATE(2026,12,12),'Agenda 2026'!$M$2:$M$376,1)&gt;=4,CHAR(10)&amp;IFERROR(INDEX('Agenda 2026'!$B$2:$B$376,MATCH(DATE(2026,12,12)*10+4,'Agenda 2026'!$S$2:$S$376,0)),""),"")&amp;IF(COUNTIFS('Agenda 2026'!$Q$2:$Q$376,DATE(2026,12,12),'Agenda 2026'!$M$2:$M$376,1)&gt;=5,CHAR(10)&amp;IFERROR(INDEX('Agenda 2026'!$B$2:$B$376,MATCH(DATE(2026,12,12)*10+5,'Agenda 2026'!$S$2:$S$376,0)),""),"")&amp;IF(COUNTIFS('Agenda 2026'!$Q$2:$Q$376,DATE(2026,12,12),'Agenda 2026'!$M$2:$M$376,1)&gt;=6,CHAR(10)&amp;IFERROR(INDEX('Agenda 2026'!$B$2:$B$376,MATCH(DATE(2026,12,12)*10+6,'Agenda 2026'!$S$2:$S$376,0)),""),"")&amp;IF(COUNTIFS('Agenda 2026'!$Q$2:$Q$376,DATE(2026,12,12),'Agenda 2026'!$M$2:$M$376,1)&gt;=7,CHAR(10)&amp;IFERROR(INDEX('Agenda 2026'!$B$2:$B$376,MATCH(DATE(2026,12,12)*10+7,'Agenda 2026'!$S$2:$S$376,0)),""),"")&amp;IF(COUNTIFS('Agenda 2026'!$Q$2:$Q$376,DATE(2026,12,12),'Agenda 2026'!$M$2:$M$376,1)&gt;=8,CHAR(10)&amp;IFERROR(INDEX('Agenda 2026'!$B$2:$B$376,MATCH(DATE(2026,12,12)*10+8,'Agenda 2026'!$S$2:$S$376,0)),""),"")&amp;IF(COUNTIFS('Agenda 2026'!$Q$2:$Q$376,DATE(2026,12,12),'Agenda 2026'!$M$2:$M$376,1)&gt;=9,CHAR(10)&amp;IFERROR(INDEX('Agenda 2026'!$B$2:$B$376,MATCH(DATE(2026,12,12)*10+9,'Agenda 2026'!$S$2:$S$376,0)),""),"")&amp;IF(COUNTIFS('Agenda 2026'!$Q$2:$Q$376,DATE(2026,12,12),'Agenda 2026'!$M$2:$M$376,1)&gt;=10,CHAR(10)&amp;IFERROR(INDEX('Agenda 2026'!$B$2:$B$376,MATCH(DATE(2026,12,12)*10+10,'Agenda 2026'!$S$2:$S$376,0)),""),"")&amp;IF(COUNTIFS('Agenda 2026'!$Q$2:$Q$376,DATE(2026,12,12),'Agenda 2026'!$M$2:$M$376,1)&gt;=11,CHAR(10)&amp;IFERROR(INDEX('Agenda 2026'!$B$2:$B$376,MATCH(DATE(2026,12,12)*10+11,'Agenda 2026'!$S$2:$S$376,0)),""),"")&amp;IF(COUNTIFS('Agenda 2026'!$Q$2:$Q$376,DATE(2026,12,12),'Agenda 2026'!$M$2:$M$376,1)&gt;=12,CHAR(10)&amp;IFERROR(INDEX('Agenda 2026'!$B$2:$B$376,MATCH(DATE(2026,12,12)*10+12,'Agenda 2026'!$S$2:$S$376,0)),""),"")</f>
        <v>12</v>
      </c>
      <c r="H110" s="58" t="str">
        <f t="array" ref="H110">13&amp;IF(COUNTIFS('Agenda 2026'!$Q$2:$Q$376,DATE(2026,12,13),'Agenda 2026'!$M$2:$M$376,1)&gt;=1,CHAR(10)&amp;IFERROR(INDEX('Agenda 2026'!$B$2:$B$376,MATCH(DATE(2026,12,13)*10+1,'Agenda 2026'!$S$2:$S$376,0)),""),"")&amp;IF(COUNTIFS('Agenda 2026'!$Q$2:$Q$376,DATE(2026,12,13),'Agenda 2026'!$M$2:$M$376,1)&gt;=2,CHAR(10)&amp;IFERROR(INDEX('Agenda 2026'!$B$2:$B$376,MATCH(DATE(2026,12,13)*10+2,'Agenda 2026'!$S$2:$S$376,0)),""),"")&amp;IF(COUNTIFS('Agenda 2026'!$Q$2:$Q$376,DATE(2026,12,13),'Agenda 2026'!$M$2:$M$376,1)&gt;=3,CHAR(10)&amp;IFERROR(INDEX('Agenda 2026'!$B$2:$B$376,MATCH(DATE(2026,12,13)*10+3,'Agenda 2026'!$S$2:$S$376,0)),""),"")&amp;IF(COUNTIFS('Agenda 2026'!$Q$2:$Q$376,DATE(2026,12,13),'Agenda 2026'!$M$2:$M$376,1)&gt;=4,CHAR(10)&amp;IFERROR(INDEX('Agenda 2026'!$B$2:$B$376,MATCH(DATE(2026,12,13)*10+4,'Agenda 2026'!$S$2:$S$376,0)),""),"")&amp;IF(COUNTIFS('Agenda 2026'!$Q$2:$Q$376,DATE(2026,12,13),'Agenda 2026'!$M$2:$M$376,1)&gt;=5,CHAR(10)&amp;IFERROR(INDEX('Agenda 2026'!$B$2:$B$376,MATCH(DATE(2026,12,13)*10+5,'Agenda 2026'!$S$2:$S$376,0)),""),"")&amp;IF(COUNTIFS('Agenda 2026'!$Q$2:$Q$376,DATE(2026,12,13),'Agenda 2026'!$M$2:$M$376,1)&gt;=6,CHAR(10)&amp;IFERROR(INDEX('Agenda 2026'!$B$2:$B$376,MATCH(DATE(2026,12,13)*10+6,'Agenda 2026'!$S$2:$S$376,0)),""),"")&amp;IF(COUNTIFS('Agenda 2026'!$Q$2:$Q$376,DATE(2026,12,13),'Agenda 2026'!$M$2:$M$376,1)&gt;=7,CHAR(10)&amp;IFERROR(INDEX('Agenda 2026'!$B$2:$B$376,MATCH(DATE(2026,12,13)*10+7,'Agenda 2026'!$S$2:$S$376,0)),""),"")&amp;IF(COUNTIFS('Agenda 2026'!$Q$2:$Q$376,DATE(2026,12,13),'Agenda 2026'!$M$2:$M$376,1)&gt;=8,CHAR(10)&amp;IFERROR(INDEX('Agenda 2026'!$B$2:$B$376,MATCH(DATE(2026,12,13)*10+8,'Agenda 2026'!$S$2:$S$376,0)),""),"")&amp;IF(COUNTIFS('Agenda 2026'!$Q$2:$Q$376,DATE(2026,12,13),'Agenda 2026'!$M$2:$M$376,1)&gt;=9,CHAR(10)&amp;IFERROR(INDEX('Agenda 2026'!$B$2:$B$376,MATCH(DATE(2026,12,13)*10+9,'Agenda 2026'!$S$2:$S$376,0)),""),"")&amp;IF(COUNTIFS('Agenda 2026'!$Q$2:$Q$376,DATE(2026,12,13),'Agenda 2026'!$M$2:$M$376,1)&gt;=10,CHAR(10)&amp;IFERROR(INDEX('Agenda 2026'!$B$2:$B$376,MATCH(DATE(2026,12,13)*10+10,'Agenda 2026'!$S$2:$S$376,0)),""),"")&amp;IF(COUNTIFS('Agenda 2026'!$Q$2:$Q$376,DATE(2026,12,13),'Agenda 2026'!$M$2:$M$376,1)&gt;=11,CHAR(10)&amp;IFERROR(INDEX('Agenda 2026'!$B$2:$B$376,MATCH(DATE(2026,12,13)*10+11,'Agenda 2026'!$S$2:$S$376,0)),""),"")&amp;IF(COUNTIFS('Agenda 2026'!$Q$2:$Q$376,DATE(2026,12,13),'Agenda 2026'!$M$2:$M$376,1)&gt;=12,CHAR(10)&amp;IFERROR(INDEX('Agenda 2026'!$B$2:$B$376,MATCH(DATE(2026,12,13)*10+12,'Agenda 2026'!$S$2:$S$376,0)),""),"")</f>
        <v>13</v>
      </c>
    </row>
    <row r="111" spans="1:8" ht="57.75" customHeight="1" x14ac:dyDescent="0.35">
      <c r="A111" s="17"/>
      <c r="B111" s="58" t="str">
        <f t="array" ref="B111">14&amp;IF(COUNTIFS('Agenda 2026'!$Q$2:$Q$376,DATE(2026,12,14),'Agenda 2026'!$M$2:$M$376,1)&gt;=1,CHAR(10)&amp;IFERROR(INDEX('Agenda 2026'!$B$2:$B$376,MATCH(DATE(2026,12,14)*10+1,'Agenda 2026'!$S$2:$S$376,0)),""),"")&amp;IF(COUNTIFS('Agenda 2026'!$Q$2:$Q$376,DATE(2026,12,14),'Agenda 2026'!$M$2:$M$376,1)&gt;=2,CHAR(10)&amp;IFERROR(INDEX('Agenda 2026'!$B$2:$B$376,MATCH(DATE(2026,12,14)*10+2,'Agenda 2026'!$S$2:$S$376,0)),""),"")&amp;IF(COUNTIFS('Agenda 2026'!$Q$2:$Q$376,DATE(2026,12,14),'Agenda 2026'!$M$2:$M$376,1)&gt;=3,CHAR(10)&amp;IFERROR(INDEX('Agenda 2026'!$B$2:$B$376,MATCH(DATE(2026,12,14)*10+3,'Agenda 2026'!$S$2:$S$376,0)),""),"")&amp;IF(COUNTIFS('Agenda 2026'!$Q$2:$Q$376,DATE(2026,12,14),'Agenda 2026'!$M$2:$M$376,1)&gt;=4,CHAR(10)&amp;IFERROR(INDEX('Agenda 2026'!$B$2:$B$376,MATCH(DATE(2026,12,14)*10+4,'Agenda 2026'!$S$2:$S$376,0)),""),"")&amp;IF(COUNTIFS('Agenda 2026'!$Q$2:$Q$376,DATE(2026,12,14),'Agenda 2026'!$M$2:$M$376,1)&gt;=5,CHAR(10)&amp;IFERROR(INDEX('Agenda 2026'!$B$2:$B$376,MATCH(DATE(2026,12,14)*10+5,'Agenda 2026'!$S$2:$S$376,0)),""),"")&amp;IF(COUNTIFS('Agenda 2026'!$Q$2:$Q$376,DATE(2026,12,14),'Agenda 2026'!$M$2:$M$376,1)&gt;=6,CHAR(10)&amp;IFERROR(INDEX('Agenda 2026'!$B$2:$B$376,MATCH(DATE(2026,12,14)*10+6,'Agenda 2026'!$S$2:$S$376,0)),""),"")&amp;IF(COUNTIFS('Agenda 2026'!$Q$2:$Q$376,DATE(2026,12,14),'Agenda 2026'!$M$2:$M$376,1)&gt;=7,CHAR(10)&amp;IFERROR(INDEX('Agenda 2026'!$B$2:$B$376,MATCH(DATE(2026,12,14)*10+7,'Agenda 2026'!$S$2:$S$376,0)),""),"")&amp;IF(COUNTIFS('Agenda 2026'!$Q$2:$Q$376,DATE(2026,12,14),'Agenda 2026'!$M$2:$M$376,1)&gt;=8,CHAR(10)&amp;IFERROR(INDEX('Agenda 2026'!$B$2:$B$376,MATCH(DATE(2026,12,14)*10+8,'Agenda 2026'!$S$2:$S$376,0)),""),"")&amp;IF(COUNTIFS('Agenda 2026'!$Q$2:$Q$376,DATE(2026,12,14),'Agenda 2026'!$M$2:$M$376,1)&gt;=9,CHAR(10)&amp;IFERROR(INDEX('Agenda 2026'!$B$2:$B$376,MATCH(DATE(2026,12,14)*10+9,'Agenda 2026'!$S$2:$S$376,0)),""),"")&amp;IF(COUNTIFS('Agenda 2026'!$Q$2:$Q$376,DATE(2026,12,14),'Agenda 2026'!$M$2:$M$376,1)&gt;=10,CHAR(10)&amp;IFERROR(INDEX('Agenda 2026'!$B$2:$B$376,MATCH(DATE(2026,12,14)*10+10,'Agenda 2026'!$S$2:$S$376,0)),""),"")&amp;IF(COUNTIFS('Agenda 2026'!$Q$2:$Q$376,DATE(2026,12,14),'Agenda 2026'!$M$2:$M$376,1)&gt;=11,CHAR(10)&amp;IFERROR(INDEX('Agenda 2026'!$B$2:$B$376,MATCH(DATE(2026,12,14)*10+11,'Agenda 2026'!$S$2:$S$376,0)),""),"")&amp;IF(COUNTIFS('Agenda 2026'!$Q$2:$Q$376,DATE(2026,12,14),'Agenda 2026'!$M$2:$M$376,1)&gt;=12,CHAR(10)&amp;IFERROR(INDEX('Agenda 2026'!$B$2:$B$376,MATCH(DATE(2026,12,14)*10+12,'Agenda 2026'!$S$2:$S$376,0)),""),"")</f>
        <v>14</v>
      </c>
      <c r="C111" s="58" t="str">
        <f t="array" ref="C111">15&amp;IF(COUNTIFS('Agenda 2026'!$Q$2:$Q$376,DATE(2026,12,15),'Agenda 2026'!$M$2:$M$376,1)&gt;=1,CHAR(10)&amp;IFERROR(INDEX('Agenda 2026'!$B$2:$B$376,MATCH(DATE(2026,12,15)*10+1,'Agenda 2026'!$S$2:$S$376,0)),""),"")&amp;IF(COUNTIFS('Agenda 2026'!$Q$2:$Q$376,DATE(2026,12,15),'Agenda 2026'!$M$2:$M$376,1)&gt;=2,CHAR(10)&amp;IFERROR(INDEX('Agenda 2026'!$B$2:$B$376,MATCH(DATE(2026,12,15)*10+2,'Agenda 2026'!$S$2:$S$376,0)),""),"")&amp;IF(COUNTIFS('Agenda 2026'!$Q$2:$Q$376,DATE(2026,12,15),'Agenda 2026'!$M$2:$M$376,1)&gt;=3,CHAR(10)&amp;IFERROR(INDEX('Agenda 2026'!$B$2:$B$376,MATCH(DATE(2026,12,15)*10+3,'Agenda 2026'!$S$2:$S$376,0)),""),"")&amp;IF(COUNTIFS('Agenda 2026'!$Q$2:$Q$376,DATE(2026,12,15),'Agenda 2026'!$M$2:$M$376,1)&gt;=4,CHAR(10)&amp;IFERROR(INDEX('Agenda 2026'!$B$2:$B$376,MATCH(DATE(2026,12,15)*10+4,'Agenda 2026'!$S$2:$S$376,0)),""),"")&amp;IF(COUNTIFS('Agenda 2026'!$Q$2:$Q$376,DATE(2026,12,15),'Agenda 2026'!$M$2:$M$376,1)&gt;=5,CHAR(10)&amp;IFERROR(INDEX('Agenda 2026'!$B$2:$B$376,MATCH(DATE(2026,12,15)*10+5,'Agenda 2026'!$S$2:$S$376,0)),""),"")&amp;IF(COUNTIFS('Agenda 2026'!$Q$2:$Q$376,DATE(2026,12,15),'Agenda 2026'!$M$2:$M$376,1)&gt;=6,CHAR(10)&amp;IFERROR(INDEX('Agenda 2026'!$B$2:$B$376,MATCH(DATE(2026,12,15)*10+6,'Agenda 2026'!$S$2:$S$376,0)),""),"")&amp;IF(COUNTIFS('Agenda 2026'!$Q$2:$Q$376,DATE(2026,12,15),'Agenda 2026'!$M$2:$M$376,1)&gt;=7,CHAR(10)&amp;IFERROR(INDEX('Agenda 2026'!$B$2:$B$376,MATCH(DATE(2026,12,15)*10+7,'Agenda 2026'!$S$2:$S$376,0)),""),"")&amp;IF(COUNTIFS('Agenda 2026'!$Q$2:$Q$376,DATE(2026,12,15),'Agenda 2026'!$M$2:$M$376,1)&gt;=8,CHAR(10)&amp;IFERROR(INDEX('Agenda 2026'!$B$2:$B$376,MATCH(DATE(2026,12,15)*10+8,'Agenda 2026'!$S$2:$S$376,0)),""),"")&amp;IF(COUNTIFS('Agenda 2026'!$Q$2:$Q$376,DATE(2026,12,15),'Agenda 2026'!$M$2:$M$376,1)&gt;=9,CHAR(10)&amp;IFERROR(INDEX('Agenda 2026'!$B$2:$B$376,MATCH(DATE(2026,12,15)*10+9,'Agenda 2026'!$S$2:$S$376,0)),""),"")&amp;IF(COUNTIFS('Agenda 2026'!$Q$2:$Q$376,DATE(2026,12,15),'Agenda 2026'!$M$2:$M$376,1)&gt;=10,CHAR(10)&amp;IFERROR(INDEX('Agenda 2026'!$B$2:$B$376,MATCH(DATE(2026,12,15)*10+10,'Agenda 2026'!$S$2:$S$376,0)),""),"")&amp;IF(COUNTIFS('Agenda 2026'!$Q$2:$Q$376,DATE(2026,12,15),'Agenda 2026'!$M$2:$M$376,1)&gt;=11,CHAR(10)&amp;IFERROR(INDEX('Agenda 2026'!$B$2:$B$376,MATCH(DATE(2026,12,15)*10+11,'Agenda 2026'!$S$2:$S$376,0)),""),"")&amp;IF(COUNTIFS('Agenda 2026'!$Q$2:$Q$376,DATE(2026,12,15),'Agenda 2026'!$M$2:$M$376,1)&gt;=12,CHAR(10)&amp;IFERROR(INDEX('Agenda 2026'!$B$2:$B$376,MATCH(DATE(2026,12,15)*10+12,'Agenda 2026'!$S$2:$S$376,0)),""),"")</f>
        <v>15</v>
      </c>
      <c r="D111" s="58" t="str">
        <f t="array" ref="D111">16&amp;IF(COUNTIFS('Agenda 2026'!$Q$2:$Q$376,DATE(2026,12,16),'Agenda 2026'!$M$2:$M$376,1)&gt;=1,CHAR(10)&amp;IFERROR(INDEX('Agenda 2026'!$B$2:$B$376,MATCH(DATE(2026,12,16)*10+1,'Agenda 2026'!$S$2:$S$376,0)),""),"")&amp;IF(COUNTIFS('Agenda 2026'!$Q$2:$Q$376,DATE(2026,12,16),'Agenda 2026'!$M$2:$M$376,1)&gt;=2,CHAR(10)&amp;IFERROR(INDEX('Agenda 2026'!$B$2:$B$376,MATCH(DATE(2026,12,16)*10+2,'Agenda 2026'!$S$2:$S$376,0)),""),"")&amp;IF(COUNTIFS('Agenda 2026'!$Q$2:$Q$376,DATE(2026,12,16),'Agenda 2026'!$M$2:$M$376,1)&gt;=3,CHAR(10)&amp;IFERROR(INDEX('Agenda 2026'!$B$2:$B$376,MATCH(DATE(2026,12,16)*10+3,'Agenda 2026'!$S$2:$S$376,0)),""),"")&amp;IF(COUNTIFS('Agenda 2026'!$Q$2:$Q$376,DATE(2026,12,16),'Agenda 2026'!$M$2:$M$376,1)&gt;=4,CHAR(10)&amp;IFERROR(INDEX('Agenda 2026'!$B$2:$B$376,MATCH(DATE(2026,12,16)*10+4,'Agenda 2026'!$S$2:$S$376,0)),""),"")&amp;IF(COUNTIFS('Agenda 2026'!$Q$2:$Q$376,DATE(2026,12,16),'Agenda 2026'!$M$2:$M$376,1)&gt;=5,CHAR(10)&amp;IFERROR(INDEX('Agenda 2026'!$B$2:$B$376,MATCH(DATE(2026,12,16)*10+5,'Agenda 2026'!$S$2:$S$376,0)),""),"")&amp;IF(COUNTIFS('Agenda 2026'!$Q$2:$Q$376,DATE(2026,12,16),'Agenda 2026'!$M$2:$M$376,1)&gt;=6,CHAR(10)&amp;IFERROR(INDEX('Agenda 2026'!$B$2:$B$376,MATCH(DATE(2026,12,16)*10+6,'Agenda 2026'!$S$2:$S$376,0)),""),"")&amp;IF(COUNTIFS('Agenda 2026'!$Q$2:$Q$376,DATE(2026,12,16),'Agenda 2026'!$M$2:$M$376,1)&gt;=7,CHAR(10)&amp;IFERROR(INDEX('Agenda 2026'!$B$2:$B$376,MATCH(DATE(2026,12,16)*10+7,'Agenda 2026'!$S$2:$S$376,0)),""),"")&amp;IF(COUNTIFS('Agenda 2026'!$Q$2:$Q$376,DATE(2026,12,16),'Agenda 2026'!$M$2:$M$376,1)&gt;=8,CHAR(10)&amp;IFERROR(INDEX('Agenda 2026'!$B$2:$B$376,MATCH(DATE(2026,12,16)*10+8,'Agenda 2026'!$S$2:$S$376,0)),""),"")&amp;IF(COUNTIFS('Agenda 2026'!$Q$2:$Q$376,DATE(2026,12,16),'Agenda 2026'!$M$2:$M$376,1)&gt;=9,CHAR(10)&amp;IFERROR(INDEX('Agenda 2026'!$B$2:$B$376,MATCH(DATE(2026,12,16)*10+9,'Agenda 2026'!$S$2:$S$376,0)),""),"")&amp;IF(COUNTIFS('Agenda 2026'!$Q$2:$Q$376,DATE(2026,12,16),'Agenda 2026'!$M$2:$M$376,1)&gt;=10,CHAR(10)&amp;IFERROR(INDEX('Agenda 2026'!$B$2:$B$376,MATCH(DATE(2026,12,16)*10+10,'Agenda 2026'!$S$2:$S$376,0)),""),"")&amp;IF(COUNTIFS('Agenda 2026'!$Q$2:$Q$376,DATE(2026,12,16),'Agenda 2026'!$M$2:$M$376,1)&gt;=11,CHAR(10)&amp;IFERROR(INDEX('Agenda 2026'!$B$2:$B$376,MATCH(DATE(2026,12,16)*10+11,'Agenda 2026'!$S$2:$S$376,0)),""),"")&amp;IF(COUNTIFS('Agenda 2026'!$Q$2:$Q$376,DATE(2026,12,16),'Agenda 2026'!$M$2:$M$376,1)&gt;=12,CHAR(10)&amp;IFERROR(INDEX('Agenda 2026'!$B$2:$B$376,MATCH(DATE(2026,12,16)*10+12,'Agenda 2026'!$S$2:$S$376,0)),""),"")</f>
        <v>16</v>
      </c>
      <c r="E111" s="58" t="str">
        <f t="array" ref="E111">17&amp;IF(COUNTIFS('Agenda 2026'!$Q$2:$Q$376,DATE(2026,12,17),'Agenda 2026'!$M$2:$M$376,1)&gt;=1,CHAR(10)&amp;IFERROR(INDEX('Agenda 2026'!$B$2:$B$376,MATCH(DATE(2026,12,17)*10+1,'Agenda 2026'!$S$2:$S$376,0)),""),"")&amp;IF(COUNTIFS('Agenda 2026'!$Q$2:$Q$376,DATE(2026,12,17),'Agenda 2026'!$M$2:$M$376,1)&gt;=2,CHAR(10)&amp;IFERROR(INDEX('Agenda 2026'!$B$2:$B$376,MATCH(DATE(2026,12,17)*10+2,'Agenda 2026'!$S$2:$S$376,0)),""),"")&amp;IF(COUNTIFS('Agenda 2026'!$Q$2:$Q$376,DATE(2026,12,17),'Agenda 2026'!$M$2:$M$376,1)&gt;=3,CHAR(10)&amp;IFERROR(INDEX('Agenda 2026'!$B$2:$B$376,MATCH(DATE(2026,12,17)*10+3,'Agenda 2026'!$S$2:$S$376,0)),""),"")&amp;IF(COUNTIFS('Agenda 2026'!$Q$2:$Q$376,DATE(2026,12,17),'Agenda 2026'!$M$2:$M$376,1)&gt;=4,CHAR(10)&amp;IFERROR(INDEX('Agenda 2026'!$B$2:$B$376,MATCH(DATE(2026,12,17)*10+4,'Agenda 2026'!$S$2:$S$376,0)),""),"")&amp;IF(COUNTIFS('Agenda 2026'!$Q$2:$Q$376,DATE(2026,12,17),'Agenda 2026'!$M$2:$M$376,1)&gt;=5,CHAR(10)&amp;IFERROR(INDEX('Agenda 2026'!$B$2:$B$376,MATCH(DATE(2026,12,17)*10+5,'Agenda 2026'!$S$2:$S$376,0)),""),"")&amp;IF(COUNTIFS('Agenda 2026'!$Q$2:$Q$376,DATE(2026,12,17),'Agenda 2026'!$M$2:$M$376,1)&gt;=6,CHAR(10)&amp;IFERROR(INDEX('Agenda 2026'!$B$2:$B$376,MATCH(DATE(2026,12,17)*10+6,'Agenda 2026'!$S$2:$S$376,0)),""),"")&amp;IF(COUNTIFS('Agenda 2026'!$Q$2:$Q$376,DATE(2026,12,17),'Agenda 2026'!$M$2:$M$376,1)&gt;=7,CHAR(10)&amp;IFERROR(INDEX('Agenda 2026'!$B$2:$B$376,MATCH(DATE(2026,12,17)*10+7,'Agenda 2026'!$S$2:$S$376,0)),""),"")&amp;IF(COUNTIFS('Agenda 2026'!$Q$2:$Q$376,DATE(2026,12,17),'Agenda 2026'!$M$2:$M$376,1)&gt;=8,CHAR(10)&amp;IFERROR(INDEX('Agenda 2026'!$B$2:$B$376,MATCH(DATE(2026,12,17)*10+8,'Agenda 2026'!$S$2:$S$376,0)),""),"")&amp;IF(COUNTIFS('Agenda 2026'!$Q$2:$Q$376,DATE(2026,12,17),'Agenda 2026'!$M$2:$M$376,1)&gt;=9,CHAR(10)&amp;IFERROR(INDEX('Agenda 2026'!$B$2:$B$376,MATCH(DATE(2026,12,17)*10+9,'Agenda 2026'!$S$2:$S$376,0)),""),"")&amp;IF(COUNTIFS('Agenda 2026'!$Q$2:$Q$376,DATE(2026,12,17),'Agenda 2026'!$M$2:$M$376,1)&gt;=10,CHAR(10)&amp;IFERROR(INDEX('Agenda 2026'!$B$2:$B$376,MATCH(DATE(2026,12,17)*10+10,'Agenda 2026'!$S$2:$S$376,0)),""),"")&amp;IF(COUNTIFS('Agenda 2026'!$Q$2:$Q$376,DATE(2026,12,17),'Agenda 2026'!$M$2:$M$376,1)&gt;=11,CHAR(10)&amp;IFERROR(INDEX('Agenda 2026'!$B$2:$B$376,MATCH(DATE(2026,12,17)*10+11,'Agenda 2026'!$S$2:$S$376,0)),""),"")&amp;IF(COUNTIFS('Agenda 2026'!$Q$2:$Q$376,DATE(2026,12,17),'Agenda 2026'!$M$2:$M$376,1)&gt;=12,CHAR(10)&amp;IFERROR(INDEX('Agenda 2026'!$B$2:$B$376,MATCH(DATE(2026,12,17)*10+12,'Agenda 2026'!$S$2:$S$376,0)),""),"")</f>
        <v>17</v>
      </c>
      <c r="F111" s="58" t="str">
        <f t="array" ref="F111">18&amp;IF(COUNTIFS('Agenda 2026'!$Q$2:$Q$376,DATE(2026,12,18),'Agenda 2026'!$M$2:$M$376,1)&gt;=1,CHAR(10)&amp;IFERROR(INDEX('Agenda 2026'!$B$2:$B$376,MATCH(DATE(2026,12,18)*10+1,'Agenda 2026'!$S$2:$S$376,0)),""),"")&amp;IF(COUNTIFS('Agenda 2026'!$Q$2:$Q$376,DATE(2026,12,18),'Agenda 2026'!$M$2:$M$376,1)&gt;=2,CHAR(10)&amp;IFERROR(INDEX('Agenda 2026'!$B$2:$B$376,MATCH(DATE(2026,12,18)*10+2,'Agenda 2026'!$S$2:$S$376,0)),""),"")&amp;IF(COUNTIFS('Agenda 2026'!$Q$2:$Q$376,DATE(2026,12,18),'Agenda 2026'!$M$2:$M$376,1)&gt;=3,CHAR(10)&amp;IFERROR(INDEX('Agenda 2026'!$B$2:$B$376,MATCH(DATE(2026,12,18)*10+3,'Agenda 2026'!$S$2:$S$376,0)),""),"")&amp;IF(COUNTIFS('Agenda 2026'!$Q$2:$Q$376,DATE(2026,12,18),'Agenda 2026'!$M$2:$M$376,1)&gt;=4,CHAR(10)&amp;IFERROR(INDEX('Agenda 2026'!$B$2:$B$376,MATCH(DATE(2026,12,18)*10+4,'Agenda 2026'!$S$2:$S$376,0)),""),"")&amp;IF(COUNTIFS('Agenda 2026'!$Q$2:$Q$376,DATE(2026,12,18),'Agenda 2026'!$M$2:$M$376,1)&gt;=5,CHAR(10)&amp;IFERROR(INDEX('Agenda 2026'!$B$2:$B$376,MATCH(DATE(2026,12,18)*10+5,'Agenda 2026'!$S$2:$S$376,0)),""),"")&amp;IF(COUNTIFS('Agenda 2026'!$Q$2:$Q$376,DATE(2026,12,18),'Agenda 2026'!$M$2:$M$376,1)&gt;=6,CHAR(10)&amp;IFERROR(INDEX('Agenda 2026'!$B$2:$B$376,MATCH(DATE(2026,12,18)*10+6,'Agenda 2026'!$S$2:$S$376,0)),""),"")&amp;IF(COUNTIFS('Agenda 2026'!$Q$2:$Q$376,DATE(2026,12,18),'Agenda 2026'!$M$2:$M$376,1)&gt;=7,CHAR(10)&amp;IFERROR(INDEX('Agenda 2026'!$B$2:$B$376,MATCH(DATE(2026,12,18)*10+7,'Agenda 2026'!$S$2:$S$376,0)),""),"")&amp;IF(COUNTIFS('Agenda 2026'!$Q$2:$Q$376,DATE(2026,12,18),'Agenda 2026'!$M$2:$M$376,1)&gt;=8,CHAR(10)&amp;IFERROR(INDEX('Agenda 2026'!$B$2:$B$376,MATCH(DATE(2026,12,18)*10+8,'Agenda 2026'!$S$2:$S$376,0)),""),"")&amp;IF(COUNTIFS('Agenda 2026'!$Q$2:$Q$376,DATE(2026,12,18),'Agenda 2026'!$M$2:$M$376,1)&gt;=9,CHAR(10)&amp;IFERROR(INDEX('Agenda 2026'!$B$2:$B$376,MATCH(DATE(2026,12,18)*10+9,'Agenda 2026'!$S$2:$S$376,0)),""),"")&amp;IF(COUNTIFS('Agenda 2026'!$Q$2:$Q$376,DATE(2026,12,18),'Agenda 2026'!$M$2:$M$376,1)&gt;=10,CHAR(10)&amp;IFERROR(INDEX('Agenda 2026'!$B$2:$B$376,MATCH(DATE(2026,12,18)*10+10,'Agenda 2026'!$S$2:$S$376,0)),""),"")&amp;IF(COUNTIFS('Agenda 2026'!$Q$2:$Q$376,DATE(2026,12,18),'Agenda 2026'!$M$2:$M$376,1)&gt;=11,CHAR(10)&amp;IFERROR(INDEX('Agenda 2026'!$B$2:$B$376,MATCH(DATE(2026,12,18)*10+11,'Agenda 2026'!$S$2:$S$376,0)),""),"")&amp;IF(COUNTIFS('Agenda 2026'!$Q$2:$Q$376,DATE(2026,12,18),'Agenda 2026'!$M$2:$M$376,1)&gt;=12,CHAR(10)&amp;IFERROR(INDEX('Agenda 2026'!$B$2:$B$376,MATCH(DATE(2026,12,18)*10+12,'Agenda 2026'!$S$2:$S$376,0)),""),"")</f>
        <v>18</v>
      </c>
      <c r="G111" s="58" t="str">
        <f t="array" ref="G111">19&amp;IF(COUNTIFS('Agenda 2026'!$Q$2:$Q$376,DATE(2026,12,19),'Agenda 2026'!$M$2:$M$376,1)&gt;=1,CHAR(10)&amp;IFERROR(INDEX('Agenda 2026'!$B$2:$B$376,MATCH(DATE(2026,12,19)*10+1,'Agenda 2026'!$S$2:$S$376,0)),""),"")&amp;IF(COUNTIFS('Agenda 2026'!$Q$2:$Q$376,DATE(2026,12,19),'Agenda 2026'!$M$2:$M$376,1)&gt;=2,CHAR(10)&amp;IFERROR(INDEX('Agenda 2026'!$B$2:$B$376,MATCH(DATE(2026,12,19)*10+2,'Agenda 2026'!$S$2:$S$376,0)),""),"")&amp;IF(COUNTIFS('Agenda 2026'!$Q$2:$Q$376,DATE(2026,12,19),'Agenda 2026'!$M$2:$M$376,1)&gt;=3,CHAR(10)&amp;IFERROR(INDEX('Agenda 2026'!$B$2:$B$376,MATCH(DATE(2026,12,19)*10+3,'Agenda 2026'!$S$2:$S$376,0)),""),"")&amp;IF(COUNTIFS('Agenda 2026'!$Q$2:$Q$376,DATE(2026,12,19),'Agenda 2026'!$M$2:$M$376,1)&gt;=4,CHAR(10)&amp;IFERROR(INDEX('Agenda 2026'!$B$2:$B$376,MATCH(DATE(2026,12,19)*10+4,'Agenda 2026'!$S$2:$S$376,0)),""),"")&amp;IF(COUNTIFS('Agenda 2026'!$Q$2:$Q$376,DATE(2026,12,19),'Agenda 2026'!$M$2:$M$376,1)&gt;=5,CHAR(10)&amp;IFERROR(INDEX('Agenda 2026'!$B$2:$B$376,MATCH(DATE(2026,12,19)*10+5,'Agenda 2026'!$S$2:$S$376,0)),""),"")&amp;IF(COUNTIFS('Agenda 2026'!$Q$2:$Q$376,DATE(2026,12,19),'Agenda 2026'!$M$2:$M$376,1)&gt;=6,CHAR(10)&amp;IFERROR(INDEX('Agenda 2026'!$B$2:$B$376,MATCH(DATE(2026,12,19)*10+6,'Agenda 2026'!$S$2:$S$376,0)),""),"")&amp;IF(COUNTIFS('Agenda 2026'!$Q$2:$Q$376,DATE(2026,12,19),'Agenda 2026'!$M$2:$M$376,1)&gt;=7,CHAR(10)&amp;IFERROR(INDEX('Agenda 2026'!$B$2:$B$376,MATCH(DATE(2026,12,19)*10+7,'Agenda 2026'!$S$2:$S$376,0)),""),"")&amp;IF(COUNTIFS('Agenda 2026'!$Q$2:$Q$376,DATE(2026,12,19),'Agenda 2026'!$M$2:$M$376,1)&gt;=8,CHAR(10)&amp;IFERROR(INDEX('Agenda 2026'!$B$2:$B$376,MATCH(DATE(2026,12,19)*10+8,'Agenda 2026'!$S$2:$S$376,0)),""),"")&amp;IF(COUNTIFS('Agenda 2026'!$Q$2:$Q$376,DATE(2026,12,19),'Agenda 2026'!$M$2:$M$376,1)&gt;=9,CHAR(10)&amp;IFERROR(INDEX('Agenda 2026'!$B$2:$B$376,MATCH(DATE(2026,12,19)*10+9,'Agenda 2026'!$S$2:$S$376,0)),""),"")&amp;IF(COUNTIFS('Agenda 2026'!$Q$2:$Q$376,DATE(2026,12,19),'Agenda 2026'!$M$2:$M$376,1)&gt;=10,CHAR(10)&amp;IFERROR(INDEX('Agenda 2026'!$B$2:$B$376,MATCH(DATE(2026,12,19)*10+10,'Agenda 2026'!$S$2:$S$376,0)),""),"")&amp;IF(COUNTIFS('Agenda 2026'!$Q$2:$Q$376,DATE(2026,12,19),'Agenda 2026'!$M$2:$M$376,1)&gt;=11,CHAR(10)&amp;IFERROR(INDEX('Agenda 2026'!$B$2:$B$376,MATCH(DATE(2026,12,19)*10+11,'Agenda 2026'!$S$2:$S$376,0)),""),"")&amp;IF(COUNTIFS('Agenda 2026'!$Q$2:$Q$376,DATE(2026,12,19),'Agenda 2026'!$M$2:$M$376,1)&gt;=12,CHAR(10)&amp;IFERROR(INDEX('Agenda 2026'!$B$2:$B$376,MATCH(DATE(2026,12,19)*10+12,'Agenda 2026'!$S$2:$S$376,0)),""),"")</f>
        <v>19</v>
      </c>
      <c r="H111" s="58" t="str">
        <f t="array" ref="H111">20&amp;IF(COUNTIFS('Agenda 2026'!$Q$2:$Q$376,DATE(2026,12,20),'Agenda 2026'!$M$2:$M$376,1)&gt;=1,CHAR(10)&amp;IFERROR(INDEX('Agenda 2026'!$B$2:$B$376,MATCH(DATE(2026,12,20)*10+1,'Agenda 2026'!$S$2:$S$376,0)),""),"")&amp;IF(COUNTIFS('Agenda 2026'!$Q$2:$Q$376,DATE(2026,12,20),'Agenda 2026'!$M$2:$M$376,1)&gt;=2,CHAR(10)&amp;IFERROR(INDEX('Agenda 2026'!$B$2:$B$376,MATCH(DATE(2026,12,20)*10+2,'Agenda 2026'!$S$2:$S$376,0)),""),"")&amp;IF(COUNTIFS('Agenda 2026'!$Q$2:$Q$376,DATE(2026,12,20),'Agenda 2026'!$M$2:$M$376,1)&gt;=3,CHAR(10)&amp;IFERROR(INDEX('Agenda 2026'!$B$2:$B$376,MATCH(DATE(2026,12,20)*10+3,'Agenda 2026'!$S$2:$S$376,0)),""),"")&amp;IF(COUNTIFS('Agenda 2026'!$Q$2:$Q$376,DATE(2026,12,20),'Agenda 2026'!$M$2:$M$376,1)&gt;=4,CHAR(10)&amp;IFERROR(INDEX('Agenda 2026'!$B$2:$B$376,MATCH(DATE(2026,12,20)*10+4,'Agenda 2026'!$S$2:$S$376,0)),""),"")&amp;IF(COUNTIFS('Agenda 2026'!$Q$2:$Q$376,DATE(2026,12,20),'Agenda 2026'!$M$2:$M$376,1)&gt;=5,CHAR(10)&amp;IFERROR(INDEX('Agenda 2026'!$B$2:$B$376,MATCH(DATE(2026,12,20)*10+5,'Agenda 2026'!$S$2:$S$376,0)),""),"")&amp;IF(COUNTIFS('Agenda 2026'!$Q$2:$Q$376,DATE(2026,12,20),'Agenda 2026'!$M$2:$M$376,1)&gt;=6,CHAR(10)&amp;IFERROR(INDEX('Agenda 2026'!$B$2:$B$376,MATCH(DATE(2026,12,20)*10+6,'Agenda 2026'!$S$2:$S$376,0)),""),"")&amp;IF(COUNTIFS('Agenda 2026'!$Q$2:$Q$376,DATE(2026,12,20),'Agenda 2026'!$M$2:$M$376,1)&gt;=7,CHAR(10)&amp;IFERROR(INDEX('Agenda 2026'!$B$2:$B$376,MATCH(DATE(2026,12,20)*10+7,'Agenda 2026'!$S$2:$S$376,0)),""),"")&amp;IF(COUNTIFS('Agenda 2026'!$Q$2:$Q$376,DATE(2026,12,20),'Agenda 2026'!$M$2:$M$376,1)&gt;=8,CHAR(10)&amp;IFERROR(INDEX('Agenda 2026'!$B$2:$B$376,MATCH(DATE(2026,12,20)*10+8,'Agenda 2026'!$S$2:$S$376,0)),""),"")&amp;IF(COUNTIFS('Agenda 2026'!$Q$2:$Q$376,DATE(2026,12,20),'Agenda 2026'!$M$2:$M$376,1)&gt;=9,CHAR(10)&amp;IFERROR(INDEX('Agenda 2026'!$B$2:$B$376,MATCH(DATE(2026,12,20)*10+9,'Agenda 2026'!$S$2:$S$376,0)),""),"")&amp;IF(COUNTIFS('Agenda 2026'!$Q$2:$Q$376,DATE(2026,12,20),'Agenda 2026'!$M$2:$M$376,1)&gt;=10,CHAR(10)&amp;IFERROR(INDEX('Agenda 2026'!$B$2:$B$376,MATCH(DATE(2026,12,20)*10+10,'Agenda 2026'!$S$2:$S$376,0)),""),"")&amp;IF(COUNTIFS('Agenda 2026'!$Q$2:$Q$376,DATE(2026,12,20),'Agenda 2026'!$M$2:$M$376,1)&gt;=11,CHAR(10)&amp;IFERROR(INDEX('Agenda 2026'!$B$2:$B$376,MATCH(DATE(2026,12,20)*10+11,'Agenda 2026'!$S$2:$S$376,0)),""),"")&amp;IF(COUNTIFS('Agenda 2026'!$Q$2:$Q$376,DATE(2026,12,20),'Agenda 2026'!$M$2:$M$376,1)&gt;=12,CHAR(10)&amp;IFERROR(INDEX('Agenda 2026'!$B$2:$B$376,MATCH(DATE(2026,12,20)*10+12,'Agenda 2026'!$S$2:$S$376,0)),""),"")</f>
        <v>20</v>
      </c>
    </row>
    <row r="112" spans="1:8" ht="69.75" customHeight="1" x14ac:dyDescent="0.35">
      <c r="A112" s="17"/>
      <c r="B112" s="58" t="str">
        <f t="array" ref="B112">21&amp;IF(COUNTIFS('Agenda 2026'!$Q$2:$Q$376,DATE(2026,12,21),'Agenda 2026'!$M$2:$M$376,1)&gt;=1,CHAR(10)&amp;IFERROR(INDEX('Agenda 2026'!$B$2:$B$376,MATCH(DATE(2026,12,21)*10+1,'Agenda 2026'!$S$2:$S$376,0)),""),"")&amp;IF(COUNTIFS('Agenda 2026'!$Q$2:$Q$376,DATE(2026,12,21),'Agenda 2026'!$M$2:$M$376,1)&gt;=2,CHAR(10)&amp;IFERROR(INDEX('Agenda 2026'!$B$2:$B$376,MATCH(DATE(2026,12,21)*10+2,'Agenda 2026'!$S$2:$S$376,0)),""),"")&amp;IF(COUNTIFS('Agenda 2026'!$Q$2:$Q$376,DATE(2026,12,21),'Agenda 2026'!$M$2:$M$376,1)&gt;=3,CHAR(10)&amp;IFERROR(INDEX('Agenda 2026'!$B$2:$B$376,MATCH(DATE(2026,12,21)*10+3,'Agenda 2026'!$S$2:$S$376,0)),""),"")&amp;IF(COUNTIFS('Agenda 2026'!$Q$2:$Q$376,DATE(2026,12,21),'Agenda 2026'!$M$2:$M$376,1)&gt;=4,CHAR(10)&amp;IFERROR(INDEX('Agenda 2026'!$B$2:$B$376,MATCH(DATE(2026,12,21)*10+4,'Agenda 2026'!$S$2:$S$376,0)),""),"")&amp;IF(COUNTIFS('Agenda 2026'!$Q$2:$Q$376,DATE(2026,12,21),'Agenda 2026'!$M$2:$M$376,1)&gt;=5,CHAR(10)&amp;IFERROR(INDEX('Agenda 2026'!$B$2:$B$376,MATCH(DATE(2026,12,21)*10+5,'Agenda 2026'!$S$2:$S$376,0)),""),"")&amp;IF(COUNTIFS('Agenda 2026'!$Q$2:$Q$376,DATE(2026,12,21),'Agenda 2026'!$M$2:$M$376,1)&gt;=6,CHAR(10)&amp;IFERROR(INDEX('Agenda 2026'!$B$2:$B$376,MATCH(DATE(2026,12,21)*10+6,'Agenda 2026'!$S$2:$S$376,0)),""),"")&amp;IF(COUNTIFS('Agenda 2026'!$Q$2:$Q$376,DATE(2026,12,21),'Agenda 2026'!$M$2:$M$376,1)&gt;=7,CHAR(10)&amp;IFERROR(INDEX('Agenda 2026'!$B$2:$B$376,MATCH(DATE(2026,12,21)*10+7,'Agenda 2026'!$S$2:$S$376,0)),""),"")&amp;IF(COUNTIFS('Agenda 2026'!$Q$2:$Q$376,DATE(2026,12,21),'Agenda 2026'!$M$2:$M$376,1)&gt;=8,CHAR(10)&amp;IFERROR(INDEX('Agenda 2026'!$B$2:$B$376,MATCH(DATE(2026,12,21)*10+8,'Agenda 2026'!$S$2:$S$376,0)),""),"")&amp;IF(COUNTIFS('Agenda 2026'!$Q$2:$Q$376,DATE(2026,12,21),'Agenda 2026'!$M$2:$M$376,1)&gt;=9,CHAR(10)&amp;IFERROR(INDEX('Agenda 2026'!$B$2:$B$376,MATCH(DATE(2026,12,21)*10+9,'Agenda 2026'!$S$2:$S$376,0)),""),"")&amp;IF(COUNTIFS('Agenda 2026'!$Q$2:$Q$376,DATE(2026,12,21),'Agenda 2026'!$M$2:$M$376,1)&gt;=10,CHAR(10)&amp;IFERROR(INDEX('Agenda 2026'!$B$2:$B$376,MATCH(DATE(2026,12,21)*10+10,'Agenda 2026'!$S$2:$S$376,0)),""),"")&amp;IF(COUNTIFS('Agenda 2026'!$Q$2:$Q$376,DATE(2026,12,21),'Agenda 2026'!$M$2:$M$376,1)&gt;=11,CHAR(10)&amp;IFERROR(INDEX('Agenda 2026'!$B$2:$B$376,MATCH(DATE(2026,12,21)*10+11,'Agenda 2026'!$S$2:$S$376,0)),""),"")&amp;IF(COUNTIFS('Agenda 2026'!$Q$2:$Q$376,DATE(2026,12,21),'Agenda 2026'!$M$2:$M$376,1)&gt;=12,CHAR(10)&amp;IFERROR(INDEX('Agenda 2026'!$B$2:$B$376,MATCH(DATE(2026,12,21)*10+12,'Agenda 2026'!$S$2:$S$376,0)),""),"")</f>
        <v>21</v>
      </c>
      <c r="C112" s="58" t="str">
        <f t="array" ref="C112">22&amp;IF(COUNTIFS('Agenda 2026'!$Q$2:$Q$376,DATE(2026,12,22),'Agenda 2026'!$M$2:$M$376,1)&gt;=1,CHAR(10)&amp;IFERROR(INDEX('Agenda 2026'!$B$2:$B$376,MATCH(DATE(2026,12,22)*10+1,'Agenda 2026'!$S$2:$S$376,0)),""),"")&amp;IF(COUNTIFS('Agenda 2026'!$Q$2:$Q$376,DATE(2026,12,22),'Agenda 2026'!$M$2:$M$376,1)&gt;=2,CHAR(10)&amp;IFERROR(INDEX('Agenda 2026'!$B$2:$B$376,MATCH(DATE(2026,12,22)*10+2,'Agenda 2026'!$S$2:$S$376,0)),""),"")&amp;IF(COUNTIFS('Agenda 2026'!$Q$2:$Q$376,DATE(2026,12,22),'Agenda 2026'!$M$2:$M$376,1)&gt;=3,CHAR(10)&amp;IFERROR(INDEX('Agenda 2026'!$B$2:$B$376,MATCH(DATE(2026,12,22)*10+3,'Agenda 2026'!$S$2:$S$376,0)),""),"")&amp;IF(COUNTIFS('Agenda 2026'!$Q$2:$Q$376,DATE(2026,12,22),'Agenda 2026'!$M$2:$M$376,1)&gt;=4,CHAR(10)&amp;IFERROR(INDEX('Agenda 2026'!$B$2:$B$376,MATCH(DATE(2026,12,22)*10+4,'Agenda 2026'!$S$2:$S$376,0)),""),"")&amp;IF(COUNTIFS('Agenda 2026'!$Q$2:$Q$376,DATE(2026,12,22),'Agenda 2026'!$M$2:$M$376,1)&gt;=5,CHAR(10)&amp;IFERROR(INDEX('Agenda 2026'!$B$2:$B$376,MATCH(DATE(2026,12,22)*10+5,'Agenda 2026'!$S$2:$S$376,0)),""),"")&amp;IF(COUNTIFS('Agenda 2026'!$Q$2:$Q$376,DATE(2026,12,22),'Agenda 2026'!$M$2:$M$376,1)&gt;=6,CHAR(10)&amp;IFERROR(INDEX('Agenda 2026'!$B$2:$B$376,MATCH(DATE(2026,12,22)*10+6,'Agenda 2026'!$S$2:$S$376,0)),""),"")&amp;IF(COUNTIFS('Agenda 2026'!$Q$2:$Q$376,DATE(2026,12,22),'Agenda 2026'!$M$2:$M$376,1)&gt;=7,CHAR(10)&amp;IFERROR(INDEX('Agenda 2026'!$B$2:$B$376,MATCH(DATE(2026,12,22)*10+7,'Agenda 2026'!$S$2:$S$376,0)),""),"")&amp;IF(COUNTIFS('Agenda 2026'!$Q$2:$Q$376,DATE(2026,12,22),'Agenda 2026'!$M$2:$M$376,1)&gt;=8,CHAR(10)&amp;IFERROR(INDEX('Agenda 2026'!$B$2:$B$376,MATCH(DATE(2026,12,22)*10+8,'Agenda 2026'!$S$2:$S$376,0)),""),"")&amp;IF(COUNTIFS('Agenda 2026'!$Q$2:$Q$376,DATE(2026,12,22),'Agenda 2026'!$M$2:$M$376,1)&gt;=9,CHAR(10)&amp;IFERROR(INDEX('Agenda 2026'!$B$2:$B$376,MATCH(DATE(2026,12,22)*10+9,'Agenda 2026'!$S$2:$S$376,0)),""),"")&amp;IF(COUNTIFS('Agenda 2026'!$Q$2:$Q$376,DATE(2026,12,22),'Agenda 2026'!$M$2:$M$376,1)&gt;=10,CHAR(10)&amp;IFERROR(INDEX('Agenda 2026'!$B$2:$B$376,MATCH(DATE(2026,12,22)*10+10,'Agenda 2026'!$S$2:$S$376,0)),""),"")&amp;IF(COUNTIFS('Agenda 2026'!$Q$2:$Q$376,DATE(2026,12,22),'Agenda 2026'!$M$2:$M$376,1)&gt;=11,CHAR(10)&amp;IFERROR(INDEX('Agenda 2026'!$B$2:$B$376,MATCH(DATE(2026,12,22)*10+11,'Agenda 2026'!$S$2:$S$376,0)),""),"")&amp;IF(COUNTIFS('Agenda 2026'!$Q$2:$Q$376,DATE(2026,12,22),'Agenda 2026'!$M$2:$M$376,1)&gt;=12,CHAR(10)&amp;IFERROR(INDEX('Agenda 2026'!$B$2:$B$376,MATCH(DATE(2026,12,22)*10+12,'Agenda 2026'!$S$2:$S$376,0)),""),"")</f>
        <v>22</v>
      </c>
      <c r="D112" s="58" t="str">
        <f t="array" ref="D112">23&amp;IF(COUNTIFS('Agenda 2026'!$Q$2:$Q$376,DATE(2026,12,23),'Agenda 2026'!$M$2:$M$376,1)&gt;=1,CHAR(10)&amp;IFERROR(INDEX('Agenda 2026'!$B$2:$B$376,MATCH(DATE(2026,12,23)*10+1,'Agenda 2026'!$S$2:$S$376,0)),""),"")&amp;IF(COUNTIFS('Agenda 2026'!$Q$2:$Q$376,DATE(2026,12,23),'Agenda 2026'!$M$2:$M$376,1)&gt;=2,CHAR(10)&amp;IFERROR(INDEX('Agenda 2026'!$B$2:$B$376,MATCH(DATE(2026,12,23)*10+2,'Agenda 2026'!$S$2:$S$376,0)),""),"")&amp;IF(COUNTIFS('Agenda 2026'!$Q$2:$Q$376,DATE(2026,12,23),'Agenda 2026'!$M$2:$M$376,1)&gt;=3,CHAR(10)&amp;IFERROR(INDEX('Agenda 2026'!$B$2:$B$376,MATCH(DATE(2026,12,23)*10+3,'Agenda 2026'!$S$2:$S$376,0)),""),"")&amp;IF(COUNTIFS('Agenda 2026'!$Q$2:$Q$376,DATE(2026,12,23),'Agenda 2026'!$M$2:$M$376,1)&gt;=4,CHAR(10)&amp;IFERROR(INDEX('Agenda 2026'!$B$2:$B$376,MATCH(DATE(2026,12,23)*10+4,'Agenda 2026'!$S$2:$S$376,0)),""),"")&amp;IF(COUNTIFS('Agenda 2026'!$Q$2:$Q$376,DATE(2026,12,23),'Agenda 2026'!$M$2:$M$376,1)&gt;=5,CHAR(10)&amp;IFERROR(INDEX('Agenda 2026'!$B$2:$B$376,MATCH(DATE(2026,12,23)*10+5,'Agenda 2026'!$S$2:$S$376,0)),""),"")&amp;IF(COUNTIFS('Agenda 2026'!$Q$2:$Q$376,DATE(2026,12,23),'Agenda 2026'!$M$2:$M$376,1)&gt;=6,CHAR(10)&amp;IFERROR(INDEX('Agenda 2026'!$B$2:$B$376,MATCH(DATE(2026,12,23)*10+6,'Agenda 2026'!$S$2:$S$376,0)),""),"")&amp;IF(COUNTIFS('Agenda 2026'!$Q$2:$Q$376,DATE(2026,12,23),'Agenda 2026'!$M$2:$M$376,1)&gt;=7,CHAR(10)&amp;IFERROR(INDEX('Agenda 2026'!$B$2:$B$376,MATCH(DATE(2026,12,23)*10+7,'Agenda 2026'!$S$2:$S$376,0)),""),"")&amp;IF(COUNTIFS('Agenda 2026'!$Q$2:$Q$376,DATE(2026,12,23),'Agenda 2026'!$M$2:$M$376,1)&gt;=8,CHAR(10)&amp;IFERROR(INDEX('Agenda 2026'!$B$2:$B$376,MATCH(DATE(2026,12,23)*10+8,'Agenda 2026'!$S$2:$S$376,0)),""),"")&amp;IF(COUNTIFS('Agenda 2026'!$Q$2:$Q$376,DATE(2026,12,23),'Agenda 2026'!$M$2:$M$376,1)&gt;=9,CHAR(10)&amp;IFERROR(INDEX('Agenda 2026'!$B$2:$B$376,MATCH(DATE(2026,12,23)*10+9,'Agenda 2026'!$S$2:$S$376,0)),""),"")&amp;IF(COUNTIFS('Agenda 2026'!$Q$2:$Q$376,DATE(2026,12,23),'Agenda 2026'!$M$2:$M$376,1)&gt;=10,CHAR(10)&amp;IFERROR(INDEX('Agenda 2026'!$B$2:$B$376,MATCH(DATE(2026,12,23)*10+10,'Agenda 2026'!$S$2:$S$376,0)),""),"")&amp;IF(COUNTIFS('Agenda 2026'!$Q$2:$Q$376,DATE(2026,12,23),'Agenda 2026'!$M$2:$M$376,1)&gt;=11,CHAR(10)&amp;IFERROR(INDEX('Agenda 2026'!$B$2:$B$376,MATCH(DATE(2026,12,23)*10+11,'Agenda 2026'!$S$2:$S$376,0)),""),"")&amp;IF(COUNTIFS('Agenda 2026'!$Q$2:$Q$376,DATE(2026,12,23),'Agenda 2026'!$M$2:$M$376,1)&gt;=12,CHAR(10)&amp;IFERROR(INDEX('Agenda 2026'!$B$2:$B$376,MATCH(DATE(2026,12,23)*10+12,'Agenda 2026'!$S$2:$S$376,0)),""),"")</f>
        <v>23</v>
      </c>
      <c r="E112" s="58" t="str">
        <f t="array" ref="E112">24&amp;IF(COUNTIFS('Agenda 2026'!$Q$2:$Q$376,DATE(2026,12,24),'Agenda 2026'!$M$2:$M$376,1)&gt;=1,CHAR(10)&amp;IFERROR(INDEX('Agenda 2026'!$B$2:$B$376,MATCH(DATE(2026,12,24)*10+1,'Agenda 2026'!$S$2:$S$376,0)),""),"")&amp;IF(COUNTIFS('Agenda 2026'!$Q$2:$Q$376,DATE(2026,12,24),'Agenda 2026'!$M$2:$M$376,1)&gt;=2,CHAR(10)&amp;IFERROR(INDEX('Agenda 2026'!$B$2:$B$376,MATCH(DATE(2026,12,24)*10+2,'Agenda 2026'!$S$2:$S$376,0)),""),"")&amp;IF(COUNTIFS('Agenda 2026'!$Q$2:$Q$376,DATE(2026,12,24),'Agenda 2026'!$M$2:$M$376,1)&gt;=3,CHAR(10)&amp;IFERROR(INDEX('Agenda 2026'!$B$2:$B$376,MATCH(DATE(2026,12,24)*10+3,'Agenda 2026'!$S$2:$S$376,0)),""),"")&amp;IF(COUNTIFS('Agenda 2026'!$Q$2:$Q$376,DATE(2026,12,24),'Agenda 2026'!$M$2:$M$376,1)&gt;=4,CHAR(10)&amp;IFERROR(INDEX('Agenda 2026'!$B$2:$B$376,MATCH(DATE(2026,12,24)*10+4,'Agenda 2026'!$S$2:$S$376,0)),""),"")&amp;IF(COUNTIFS('Agenda 2026'!$Q$2:$Q$376,DATE(2026,12,24),'Agenda 2026'!$M$2:$M$376,1)&gt;=5,CHAR(10)&amp;IFERROR(INDEX('Agenda 2026'!$B$2:$B$376,MATCH(DATE(2026,12,24)*10+5,'Agenda 2026'!$S$2:$S$376,0)),""),"")&amp;IF(COUNTIFS('Agenda 2026'!$Q$2:$Q$376,DATE(2026,12,24),'Agenda 2026'!$M$2:$M$376,1)&gt;=6,CHAR(10)&amp;IFERROR(INDEX('Agenda 2026'!$B$2:$B$376,MATCH(DATE(2026,12,24)*10+6,'Agenda 2026'!$S$2:$S$376,0)),""),"")&amp;IF(COUNTIFS('Agenda 2026'!$Q$2:$Q$376,DATE(2026,12,24),'Agenda 2026'!$M$2:$M$376,1)&gt;=7,CHAR(10)&amp;IFERROR(INDEX('Agenda 2026'!$B$2:$B$376,MATCH(DATE(2026,12,24)*10+7,'Agenda 2026'!$S$2:$S$376,0)),""),"")&amp;IF(COUNTIFS('Agenda 2026'!$Q$2:$Q$376,DATE(2026,12,24),'Agenda 2026'!$M$2:$M$376,1)&gt;=8,CHAR(10)&amp;IFERROR(INDEX('Agenda 2026'!$B$2:$B$376,MATCH(DATE(2026,12,24)*10+8,'Agenda 2026'!$S$2:$S$376,0)),""),"")&amp;IF(COUNTIFS('Agenda 2026'!$Q$2:$Q$376,DATE(2026,12,24),'Agenda 2026'!$M$2:$M$376,1)&gt;=9,CHAR(10)&amp;IFERROR(INDEX('Agenda 2026'!$B$2:$B$376,MATCH(DATE(2026,12,24)*10+9,'Agenda 2026'!$S$2:$S$376,0)),""),"")&amp;IF(COUNTIFS('Agenda 2026'!$Q$2:$Q$376,DATE(2026,12,24),'Agenda 2026'!$M$2:$M$376,1)&gt;=10,CHAR(10)&amp;IFERROR(INDEX('Agenda 2026'!$B$2:$B$376,MATCH(DATE(2026,12,24)*10+10,'Agenda 2026'!$S$2:$S$376,0)),""),"")&amp;IF(COUNTIFS('Agenda 2026'!$Q$2:$Q$376,DATE(2026,12,24),'Agenda 2026'!$M$2:$M$376,1)&gt;=11,CHAR(10)&amp;IFERROR(INDEX('Agenda 2026'!$B$2:$B$376,MATCH(DATE(2026,12,24)*10+11,'Agenda 2026'!$S$2:$S$376,0)),""),"")&amp;IF(COUNTIFS('Agenda 2026'!$Q$2:$Q$376,DATE(2026,12,24),'Agenda 2026'!$M$2:$M$376,1)&gt;=12,CHAR(10)&amp;IFERROR(INDEX('Agenda 2026'!$B$2:$B$376,MATCH(DATE(2026,12,24)*10+12,'Agenda 2026'!$S$2:$S$376,0)),""),"")</f>
        <v>24</v>
      </c>
      <c r="F112" s="58" t="str">
        <f t="array" ref="F112">25&amp;IF(COUNTIFS('Agenda 2026'!$Q$2:$Q$376,DATE(2026,12,25),'Agenda 2026'!$M$2:$M$376,1)&gt;=1,CHAR(10)&amp;IFERROR(INDEX('Agenda 2026'!$B$2:$B$376,MATCH(DATE(2026,12,25)*10+1,'Agenda 2026'!$S$2:$S$376,0)),""),"")&amp;IF(COUNTIFS('Agenda 2026'!$Q$2:$Q$376,DATE(2026,12,25),'Agenda 2026'!$M$2:$M$376,1)&gt;=2,CHAR(10)&amp;IFERROR(INDEX('Agenda 2026'!$B$2:$B$376,MATCH(DATE(2026,12,25)*10+2,'Agenda 2026'!$S$2:$S$376,0)),""),"")&amp;IF(COUNTIFS('Agenda 2026'!$Q$2:$Q$376,DATE(2026,12,25),'Agenda 2026'!$M$2:$M$376,1)&gt;=3,CHAR(10)&amp;IFERROR(INDEX('Agenda 2026'!$B$2:$B$376,MATCH(DATE(2026,12,25)*10+3,'Agenda 2026'!$S$2:$S$376,0)),""),"")&amp;IF(COUNTIFS('Agenda 2026'!$Q$2:$Q$376,DATE(2026,12,25),'Agenda 2026'!$M$2:$M$376,1)&gt;=4,CHAR(10)&amp;IFERROR(INDEX('Agenda 2026'!$B$2:$B$376,MATCH(DATE(2026,12,25)*10+4,'Agenda 2026'!$S$2:$S$376,0)),""),"")&amp;IF(COUNTIFS('Agenda 2026'!$Q$2:$Q$376,DATE(2026,12,25),'Agenda 2026'!$M$2:$M$376,1)&gt;=5,CHAR(10)&amp;IFERROR(INDEX('Agenda 2026'!$B$2:$B$376,MATCH(DATE(2026,12,25)*10+5,'Agenda 2026'!$S$2:$S$376,0)),""),"")&amp;IF(COUNTIFS('Agenda 2026'!$Q$2:$Q$376,DATE(2026,12,25),'Agenda 2026'!$M$2:$M$376,1)&gt;=6,CHAR(10)&amp;IFERROR(INDEX('Agenda 2026'!$B$2:$B$376,MATCH(DATE(2026,12,25)*10+6,'Agenda 2026'!$S$2:$S$376,0)),""),"")&amp;IF(COUNTIFS('Agenda 2026'!$Q$2:$Q$376,DATE(2026,12,25),'Agenda 2026'!$M$2:$M$376,1)&gt;=7,CHAR(10)&amp;IFERROR(INDEX('Agenda 2026'!$B$2:$B$376,MATCH(DATE(2026,12,25)*10+7,'Agenda 2026'!$S$2:$S$376,0)),""),"")&amp;IF(COUNTIFS('Agenda 2026'!$Q$2:$Q$376,DATE(2026,12,25),'Agenda 2026'!$M$2:$M$376,1)&gt;=8,CHAR(10)&amp;IFERROR(INDEX('Agenda 2026'!$B$2:$B$376,MATCH(DATE(2026,12,25)*10+8,'Agenda 2026'!$S$2:$S$376,0)),""),"")&amp;IF(COUNTIFS('Agenda 2026'!$Q$2:$Q$376,DATE(2026,12,25),'Agenda 2026'!$M$2:$M$376,1)&gt;=9,CHAR(10)&amp;IFERROR(INDEX('Agenda 2026'!$B$2:$B$376,MATCH(DATE(2026,12,25)*10+9,'Agenda 2026'!$S$2:$S$376,0)),""),"")&amp;IF(COUNTIFS('Agenda 2026'!$Q$2:$Q$376,DATE(2026,12,25),'Agenda 2026'!$M$2:$M$376,1)&gt;=10,CHAR(10)&amp;IFERROR(INDEX('Agenda 2026'!$B$2:$B$376,MATCH(DATE(2026,12,25)*10+10,'Agenda 2026'!$S$2:$S$376,0)),""),"")&amp;IF(COUNTIFS('Agenda 2026'!$Q$2:$Q$376,DATE(2026,12,25),'Agenda 2026'!$M$2:$M$376,1)&gt;=11,CHAR(10)&amp;IFERROR(INDEX('Agenda 2026'!$B$2:$B$376,MATCH(DATE(2026,12,25)*10+11,'Agenda 2026'!$S$2:$S$376,0)),""),"")&amp;IF(COUNTIFS('Agenda 2026'!$Q$2:$Q$376,DATE(2026,12,25),'Agenda 2026'!$M$2:$M$376,1)&gt;=12,CHAR(10)&amp;IFERROR(INDEX('Agenda 2026'!$B$2:$B$376,MATCH(DATE(2026,12,25)*10+12,'Agenda 2026'!$S$2:$S$376,0)),""),"")</f>
        <v>25</v>
      </c>
      <c r="G112" s="58" t="str">
        <f t="array" ref="G112">26&amp;IF(COUNTIFS('Agenda 2026'!$Q$2:$Q$376,DATE(2026,12,26),'Agenda 2026'!$M$2:$M$376,1)&gt;=1,CHAR(10)&amp;IFERROR(INDEX('Agenda 2026'!$B$2:$B$376,MATCH(DATE(2026,12,26)*10+1,'Agenda 2026'!$S$2:$S$376,0)),""),"")&amp;IF(COUNTIFS('Agenda 2026'!$Q$2:$Q$376,DATE(2026,12,26),'Agenda 2026'!$M$2:$M$376,1)&gt;=2,CHAR(10)&amp;IFERROR(INDEX('Agenda 2026'!$B$2:$B$376,MATCH(DATE(2026,12,26)*10+2,'Agenda 2026'!$S$2:$S$376,0)),""),"")&amp;IF(COUNTIFS('Agenda 2026'!$Q$2:$Q$376,DATE(2026,12,26),'Agenda 2026'!$M$2:$M$376,1)&gt;=3,CHAR(10)&amp;IFERROR(INDEX('Agenda 2026'!$B$2:$B$376,MATCH(DATE(2026,12,26)*10+3,'Agenda 2026'!$S$2:$S$376,0)),""),"")&amp;IF(COUNTIFS('Agenda 2026'!$Q$2:$Q$376,DATE(2026,12,26),'Agenda 2026'!$M$2:$M$376,1)&gt;=4,CHAR(10)&amp;IFERROR(INDEX('Agenda 2026'!$B$2:$B$376,MATCH(DATE(2026,12,26)*10+4,'Agenda 2026'!$S$2:$S$376,0)),""),"")&amp;IF(COUNTIFS('Agenda 2026'!$Q$2:$Q$376,DATE(2026,12,26),'Agenda 2026'!$M$2:$M$376,1)&gt;=5,CHAR(10)&amp;IFERROR(INDEX('Agenda 2026'!$B$2:$B$376,MATCH(DATE(2026,12,26)*10+5,'Agenda 2026'!$S$2:$S$376,0)),""),"")&amp;IF(COUNTIFS('Agenda 2026'!$Q$2:$Q$376,DATE(2026,12,26),'Agenda 2026'!$M$2:$M$376,1)&gt;=6,CHAR(10)&amp;IFERROR(INDEX('Agenda 2026'!$B$2:$B$376,MATCH(DATE(2026,12,26)*10+6,'Agenda 2026'!$S$2:$S$376,0)),""),"")&amp;IF(COUNTIFS('Agenda 2026'!$Q$2:$Q$376,DATE(2026,12,26),'Agenda 2026'!$M$2:$M$376,1)&gt;=7,CHAR(10)&amp;IFERROR(INDEX('Agenda 2026'!$B$2:$B$376,MATCH(DATE(2026,12,26)*10+7,'Agenda 2026'!$S$2:$S$376,0)),""),"")&amp;IF(COUNTIFS('Agenda 2026'!$Q$2:$Q$376,DATE(2026,12,26),'Agenda 2026'!$M$2:$M$376,1)&gt;=8,CHAR(10)&amp;IFERROR(INDEX('Agenda 2026'!$B$2:$B$376,MATCH(DATE(2026,12,26)*10+8,'Agenda 2026'!$S$2:$S$376,0)),""),"")&amp;IF(COUNTIFS('Agenda 2026'!$Q$2:$Q$376,DATE(2026,12,26),'Agenda 2026'!$M$2:$M$376,1)&gt;=9,CHAR(10)&amp;IFERROR(INDEX('Agenda 2026'!$B$2:$B$376,MATCH(DATE(2026,12,26)*10+9,'Agenda 2026'!$S$2:$S$376,0)),""),"")&amp;IF(COUNTIFS('Agenda 2026'!$Q$2:$Q$376,DATE(2026,12,26),'Agenda 2026'!$M$2:$M$376,1)&gt;=10,CHAR(10)&amp;IFERROR(INDEX('Agenda 2026'!$B$2:$B$376,MATCH(DATE(2026,12,26)*10+10,'Agenda 2026'!$S$2:$S$376,0)),""),"")&amp;IF(COUNTIFS('Agenda 2026'!$Q$2:$Q$376,DATE(2026,12,26),'Agenda 2026'!$M$2:$M$376,1)&gt;=11,CHAR(10)&amp;IFERROR(INDEX('Agenda 2026'!$B$2:$B$376,MATCH(DATE(2026,12,26)*10+11,'Agenda 2026'!$S$2:$S$376,0)),""),"")&amp;IF(COUNTIFS('Agenda 2026'!$Q$2:$Q$376,DATE(2026,12,26),'Agenda 2026'!$M$2:$M$376,1)&gt;=12,CHAR(10)&amp;IFERROR(INDEX('Agenda 2026'!$B$2:$B$376,MATCH(DATE(2026,12,26)*10+12,'Agenda 2026'!$S$2:$S$376,0)),""),"")</f>
        <v>26</v>
      </c>
      <c r="H112" s="58" t="str">
        <f t="array" ref="H112">27&amp;IF(COUNTIFS('Agenda 2026'!$Q$2:$Q$376,DATE(2026,12,27),'Agenda 2026'!$M$2:$M$376,1)&gt;=1,CHAR(10)&amp;IFERROR(INDEX('Agenda 2026'!$B$2:$B$376,MATCH(DATE(2026,12,27)*10+1,'Agenda 2026'!$S$2:$S$376,0)),""),"")&amp;IF(COUNTIFS('Agenda 2026'!$Q$2:$Q$376,DATE(2026,12,27),'Agenda 2026'!$M$2:$M$376,1)&gt;=2,CHAR(10)&amp;IFERROR(INDEX('Agenda 2026'!$B$2:$B$376,MATCH(DATE(2026,12,27)*10+2,'Agenda 2026'!$S$2:$S$376,0)),""),"")&amp;IF(COUNTIFS('Agenda 2026'!$Q$2:$Q$376,DATE(2026,12,27),'Agenda 2026'!$M$2:$M$376,1)&gt;=3,CHAR(10)&amp;IFERROR(INDEX('Agenda 2026'!$B$2:$B$376,MATCH(DATE(2026,12,27)*10+3,'Agenda 2026'!$S$2:$S$376,0)),""),"")&amp;IF(COUNTIFS('Agenda 2026'!$Q$2:$Q$376,DATE(2026,12,27),'Agenda 2026'!$M$2:$M$376,1)&gt;=4,CHAR(10)&amp;IFERROR(INDEX('Agenda 2026'!$B$2:$B$376,MATCH(DATE(2026,12,27)*10+4,'Agenda 2026'!$S$2:$S$376,0)),""),"")&amp;IF(COUNTIFS('Agenda 2026'!$Q$2:$Q$376,DATE(2026,12,27),'Agenda 2026'!$M$2:$M$376,1)&gt;=5,CHAR(10)&amp;IFERROR(INDEX('Agenda 2026'!$B$2:$B$376,MATCH(DATE(2026,12,27)*10+5,'Agenda 2026'!$S$2:$S$376,0)),""),"")&amp;IF(COUNTIFS('Agenda 2026'!$Q$2:$Q$376,DATE(2026,12,27),'Agenda 2026'!$M$2:$M$376,1)&gt;=6,CHAR(10)&amp;IFERROR(INDEX('Agenda 2026'!$B$2:$B$376,MATCH(DATE(2026,12,27)*10+6,'Agenda 2026'!$S$2:$S$376,0)),""),"")&amp;IF(COUNTIFS('Agenda 2026'!$Q$2:$Q$376,DATE(2026,12,27),'Agenda 2026'!$M$2:$M$376,1)&gt;=7,CHAR(10)&amp;IFERROR(INDEX('Agenda 2026'!$B$2:$B$376,MATCH(DATE(2026,12,27)*10+7,'Agenda 2026'!$S$2:$S$376,0)),""),"")&amp;IF(COUNTIFS('Agenda 2026'!$Q$2:$Q$376,DATE(2026,12,27),'Agenda 2026'!$M$2:$M$376,1)&gt;=8,CHAR(10)&amp;IFERROR(INDEX('Agenda 2026'!$B$2:$B$376,MATCH(DATE(2026,12,27)*10+8,'Agenda 2026'!$S$2:$S$376,0)),""),"")&amp;IF(COUNTIFS('Agenda 2026'!$Q$2:$Q$376,DATE(2026,12,27),'Agenda 2026'!$M$2:$M$376,1)&gt;=9,CHAR(10)&amp;IFERROR(INDEX('Agenda 2026'!$B$2:$B$376,MATCH(DATE(2026,12,27)*10+9,'Agenda 2026'!$S$2:$S$376,0)),""),"")&amp;IF(COUNTIFS('Agenda 2026'!$Q$2:$Q$376,DATE(2026,12,27),'Agenda 2026'!$M$2:$M$376,1)&gt;=10,CHAR(10)&amp;IFERROR(INDEX('Agenda 2026'!$B$2:$B$376,MATCH(DATE(2026,12,27)*10+10,'Agenda 2026'!$S$2:$S$376,0)),""),"")&amp;IF(COUNTIFS('Agenda 2026'!$Q$2:$Q$376,DATE(2026,12,27),'Agenda 2026'!$M$2:$M$376,1)&gt;=11,CHAR(10)&amp;IFERROR(INDEX('Agenda 2026'!$B$2:$B$376,MATCH(DATE(2026,12,27)*10+11,'Agenda 2026'!$S$2:$S$376,0)),""),"")&amp;IF(COUNTIFS('Agenda 2026'!$Q$2:$Q$376,DATE(2026,12,27),'Agenda 2026'!$M$2:$M$376,1)&gt;=12,CHAR(10)&amp;IFERROR(INDEX('Agenda 2026'!$B$2:$B$376,MATCH(DATE(2026,12,27)*10+12,'Agenda 2026'!$S$2:$S$376,0)),""),"")</f>
        <v>27</v>
      </c>
    </row>
    <row r="113" spans="1:8" ht="45.75" customHeight="1" x14ac:dyDescent="0.35">
      <c r="A113" s="17"/>
      <c r="B113" s="58" t="str">
        <f t="array" ref="B113">28&amp;IF(COUNTIFS('Agenda 2026'!$Q$2:$Q$376,DATE(2026,12,28),'Agenda 2026'!$M$2:$M$376,1)&gt;=1,CHAR(10)&amp;IFERROR(INDEX('Agenda 2026'!$B$2:$B$376,MATCH(DATE(2026,12,28)*10+1,'Agenda 2026'!$S$2:$S$376,0)),""),"")&amp;IF(COUNTIFS('Agenda 2026'!$Q$2:$Q$376,DATE(2026,12,28),'Agenda 2026'!$M$2:$M$376,1)&gt;=2,CHAR(10)&amp;IFERROR(INDEX('Agenda 2026'!$B$2:$B$376,MATCH(DATE(2026,12,28)*10+2,'Agenda 2026'!$S$2:$S$376,0)),""),"")&amp;IF(COUNTIFS('Agenda 2026'!$Q$2:$Q$376,DATE(2026,12,28),'Agenda 2026'!$M$2:$M$376,1)&gt;=3,CHAR(10)&amp;IFERROR(INDEX('Agenda 2026'!$B$2:$B$376,MATCH(DATE(2026,12,28)*10+3,'Agenda 2026'!$S$2:$S$376,0)),""),"")&amp;IF(COUNTIFS('Agenda 2026'!$Q$2:$Q$376,DATE(2026,12,28),'Agenda 2026'!$M$2:$M$376,1)&gt;=4,CHAR(10)&amp;IFERROR(INDEX('Agenda 2026'!$B$2:$B$376,MATCH(DATE(2026,12,28)*10+4,'Agenda 2026'!$S$2:$S$376,0)),""),"")&amp;IF(COUNTIFS('Agenda 2026'!$Q$2:$Q$376,DATE(2026,12,28),'Agenda 2026'!$M$2:$M$376,1)&gt;=5,CHAR(10)&amp;IFERROR(INDEX('Agenda 2026'!$B$2:$B$376,MATCH(DATE(2026,12,28)*10+5,'Agenda 2026'!$S$2:$S$376,0)),""),"")&amp;IF(COUNTIFS('Agenda 2026'!$Q$2:$Q$376,DATE(2026,12,28),'Agenda 2026'!$M$2:$M$376,1)&gt;=6,CHAR(10)&amp;IFERROR(INDEX('Agenda 2026'!$B$2:$B$376,MATCH(DATE(2026,12,28)*10+6,'Agenda 2026'!$S$2:$S$376,0)),""),"")&amp;IF(COUNTIFS('Agenda 2026'!$Q$2:$Q$376,DATE(2026,12,28),'Agenda 2026'!$M$2:$M$376,1)&gt;=7,CHAR(10)&amp;IFERROR(INDEX('Agenda 2026'!$B$2:$B$376,MATCH(DATE(2026,12,28)*10+7,'Agenda 2026'!$S$2:$S$376,0)),""),"")&amp;IF(COUNTIFS('Agenda 2026'!$Q$2:$Q$376,DATE(2026,12,28),'Agenda 2026'!$M$2:$M$376,1)&gt;=8,CHAR(10)&amp;IFERROR(INDEX('Agenda 2026'!$B$2:$B$376,MATCH(DATE(2026,12,28)*10+8,'Agenda 2026'!$S$2:$S$376,0)),""),"")&amp;IF(COUNTIFS('Agenda 2026'!$Q$2:$Q$376,DATE(2026,12,28),'Agenda 2026'!$M$2:$M$376,1)&gt;=9,CHAR(10)&amp;IFERROR(INDEX('Agenda 2026'!$B$2:$B$376,MATCH(DATE(2026,12,28)*10+9,'Agenda 2026'!$S$2:$S$376,0)),""),"")&amp;IF(COUNTIFS('Agenda 2026'!$Q$2:$Q$376,DATE(2026,12,28),'Agenda 2026'!$M$2:$M$376,1)&gt;=10,CHAR(10)&amp;IFERROR(INDEX('Agenda 2026'!$B$2:$B$376,MATCH(DATE(2026,12,28)*10+10,'Agenda 2026'!$S$2:$S$376,0)),""),"")&amp;IF(COUNTIFS('Agenda 2026'!$Q$2:$Q$376,DATE(2026,12,28),'Agenda 2026'!$M$2:$M$376,1)&gt;=11,CHAR(10)&amp;IFERROR(INDEX('Agenda 2026'!$B$2:$B$376,MATCH(DATE(2026,12,28)*10+11,'Agenda 2026'!$S$2:$S$376,0)),""),"")&amp;IF(COUNTIFS('Agenda 2026'!$Q$2:$Q$376,DATE(2026,12,28),'Agenda 2026'!$M$2:$M$376,1)&gt;=12,CHAR(10)&amp;IFERROR(INDEX('Agenda 2026'!$B$2:$B$376,MATCH(DATE(2026,12,28)*10+12,'Agenda 2026'!$S$2:$S$376,0)),""),"")</f>
        <v>28</v>
      </c>
      <c r="C113" s="58" t="str">
        <f t="array" ref="C113">29&amp;IF(COUNTIFS('Agenda 2026'!$Q$2:$Q$376,DATE(2026,12,29),'Agenda 2026'!$M$2:$M$376,1)&gt;=1,CHAR(10)&amp;IFERROR(INDEX('Agenda 2026'!$B$2:$B$376,MATCH(DATE(2026,12,29)*10+1,'Agenda 2026'!$S$2:$S$376,0)),""),"")&amp;IF(COUNTIFS('Agenda 2026'!$Q$2:$Q$376,DATE(2026,12,29),'Agenda 2026'!$M$2:$M$376,1)&gt;=2,CHAR(10)&amp;IFERROR(INDEX('Agenda 2026'!$B$2:$B$376,MATCH(DATE(2026,12,29)*10+2,'Agenda 2026'!$S$2:$S$376,0)),""),"")&amp;IF(COUNTIFS('Agenda 2026'!$Q$2:$Q$376,DATE(2026,12,29),'Agenda 2026'!$M$2:$M$376,1)&gt;=3,CHAR(10)&amp;IFERROR(INDEX('Agenda 2026'!$B$2:$B$376,MATCH(DATE(2026,12,29)*10+3,'Agenda 2026'!$S$2:$S$376,0)),""),"")&amp;IF(COUNTIFS('Agenda 2026'!$Q$2:$Q$376,DATE(2026,12,29),'Agenda 2026'!$M$2:$M$376,1)&gt;=4,CHAR(10)&amp;IFERROR(INDEX('Agenda 2026'!$B$2:$B$376,MATCH(DATE(2026,12,29)*10+4,'Agenda 2026'!$S$2:$S$376,0)),""),"")&amp;IF(COUNTIFS('Agenda 2026'!$Q$2:$Q$376,DATE(2026,12,29),'Agenda 2026'!$M$2:$M$376,1)&gt;=5,CHAR(10)&amp;IFERROR(INDEX('Agenda 2026'!$B$2:$B$376,MATCH(DATE(2026,12,29)*10+5,'Agenda 2026'!$S$2:$S$376,0)),""),"")&amp;IF(COUNTIFS('Agenda 2026'!$Q$2:$Q$376,DATE(2026,12,29),'Agenda 2026'!$M$2:$M$376,1)&gt;=6,CHAR(10)&amp;IFERROR(INDEX('Agenda 2026'!$B$2:$B$376,MATCH(DATE(2026,12,29)*10+6,'Agenda 2026'!$S$2:$S$376,0)),""),"")&amp;IF(COUNTIFS('Agenda 2026'!$Q$2:$Q$376,DATE(2026,12,29),'Agenda 2026'!$M$2:$M$376,1)&gt;=7,CHAR(10)&amp;IFERROR(INDEX('Agenda 2026'!$B$2:$B$376,MATCH(DATE(2026,12,29)*10+7,'Agenda 2026'!$S$2:$S$376,0)),""),"")&amp;IF(COUNTIFS('Agenda 2026'!$Q$2:$Q$376,DATE(2026,12,29),'Agenda 2026'!$M$2:$M$376,1)&gt;=8,CHAR(10)&amp;IFERROR(INDEX('Agenda 2026'!$B$2:$B$376,MATCH(DATE(2026,12,29)*10+8,'Agenda 2026'!$S$2:$S$376,0)),""),"")&amp;IF(COUNTIFS('Agenda 2026'!$Q$2:$Q$376,DATE(2026,12,29),'Agenda 2026'!$M$2:$M$376,1)&gt;=9,CHAR(10)&amp;IFERROR(INDEX('Agenda 2026'!$B$2:$B$376,MATCH(DATE(2026,12,29)*10+9,'Agenda 2026'!$S$2:$S$376,0)),""),"")&amp;IF(COUNTIFS('Agenda 2026'!$Q$2:$Q$376,DATE(2026,12,29),'Agenda 2026'!$M$2:$M$376,1)&gt;=10,CHAR(10)&amp;IFERROR(INDEX('Agenda 2026'!$B$2:$B$376,MATCH(DATE(2026,12,29)*10+10,'Agenda 2026'!$S$2:$S$376,0)),""),"")&amp;IF(COUNTIFS('Agenda 2026'!$Q$2:$Q$376,DATE(2026,12,29),'Agenda 2026'!$M$2:$M$376,1)&gt;=11,CHAR(10)&amp;IFERROR(INDEX('Agenda 2026'!$B$2:$B$376,MATCH(DATE(2026,12,29)*10+11,'Agenda 2026'!$S$2:$S$376,0)),""),"")&amp;IF(COUNTIFS('Agenda 2026'!$Q$2:$Q$376,DATE(2026,12,29),'Agenda 2026'!$M$2:$M$376,1)&gt;=12,CHAR(10)&amp;IFERROR(INDEX('Agenda 2026'!$B$2:$B$376,MATCH(DATE(2026,12,29)*10+12,'Agenda 2026'!$S$2:$S$376,0)),""),"")</f>
        <v>29</v>
      </c>
      <c r="D113" s="58" t="str">
        <f t="array" ref="D113">30&amp;IF(COUNTIFS('Agenda 2026'!$Q$2:$Q$376,DATE(2026,12,30),'Agenda 2026'!$M$2:$M$376,1)&gt;=1,CHAR(10)&amp;IFERROR(INDEX('Agenda 2026'!$B$2:$B$376,MATCH(DATE(2026,12,30)*10+1,'Agenda 2026'!$S$2:$S$376,0)),""),"")&amp;IF(COUNTIFS('Agenda 2026'!$Q$2:$Q$376,DATE(2026,12,30),'Agenda 2026'!$M$2:$M$376,1)&gt;=2,CHAR(10)&amp;IFERROR(INDEX('Agenda 2026'!$B$2:$B$376,MATCH(DATE(2026,12,30)*10+2,'Agenda 2026'!$S$2:$S$376,0)),""),"")&amp;IF(COUNTIFS('Agenda 2026'!$Q$2:$Q$376,DATE(2026,12,30),'Agenda 2026'!$M$2:$M$376,1)&gt;=3,CHAR(10)&amp;IFERROR(INDEX('Agenda 2026'!$B$2:$B$376,MATCH(DATE(2026,12,30)*10+3,'Agenda 2026'!$S$2:$S$376,0)),""),"")&amp;IF(COUNTIFS('Agenda 2026'!$Q$2:$Q$376,DATE(2026,12,30),'Agenda 2026'!$M$2:$M$376,1)&gt;=4,CHAR(10)&amp;IFERROR(INDEX('Agenda 2026'!$B$2:$B$376,MATCH(DATE(2026,12,30)*10+4,'Agenda 2026'!$S$2:$S$376,0)),""),"")&amp;IF(COUNTIFS('Agenda 2026'!$Q$2:$Q$376,DATE(2026,12,30),'Agenda 2026'!$M$2:$M$376,1)&gt;=5,CHAR(10)&amp;IFERROR(INDEX('Agenda 2026'!$B$2:$B$376,MATCH(DATE(2026,12,30)*10+5,'Agenda 2026'!$S$2:$S$376,0)),""),"")&amp;IF(COUNTIFS('Agenda 2026'!$Q$2:$Q$376,DATE(2026,12,30),'Agenda 2026'!$M$2:$M$376,1)&gt;=6,CHAR(10)&amp;IFERROR(INDEX('Agenda 2026'!$B$2:$B$376,MATCH(DATE(2026,12,30)*10+6,'Agenda 2026'!$S$2:$S$376,0)),""),"")&amp;IF(COUNTIFS('Agenda 2026'!$Q$2:$Q$376,DATE(2026,12,30),'Agenda 2026'!$M$2:$M$376,1)&gt;=7,CHAR(10)&amp;IFERROR(INDEX('Agenda 2026'!$B$2:$B$376,MATCH(DATE(2026,12,30)*10+7,'Agenda 2026'!$S$2:$S$376,0)),""),"")&amp;IF(COUNTIFS('Agenda 2026'!$Q$2:$Q$376,DATE(2026,12,30),'Agenda 2026'!$M$2:$M$376,1)&gt;=8,CHAR(10)&amp;IFERROR(INDEX('Agenda 2026'!$B$2:$B$376,MATCH(DATE(2026,12,30)*10+8,'Agenda 2026'!$S$2:$S$376,0)),""),"")&amp;IF(COUNTIFS('Agenda 2026'!$Q$2:$Q$376,DATE(2026,12,30),'Agenda 2026'!$M$2:$M$376,1)&gt;=9,CHAR(10)&amp;IFERROR(INDEX('Agenda 2026'!$B$2:$B$376,MATCH(DATE(2026,12,30)*10+9,'Agenda 2026'!$S$2:$S$376,0)),""),"")&amp;IF(COUNTIFS('Agenda 2026'!$Q$2:$Q$376,DATE(2026,12,30),'Agenda 2026'!$M$2:$M$376,1)&gt;=10,CHAR(10)&amp;IFERROR(INDEX('Agenda 2026'!$B$2:$B$376,MATCH(DATE(2026,12,30)*10+10,'Agenda 2026'!$S$2:$S$376,0)),""),"")&amp;IF(COUNTIFS('Agenda 2026'!$Q$2:$Q$376,DATE(2026,12,30),'Agenda 2026'!$M$2:$M$376,1)&gt;=11,CHAR(10)&amp;IFERROR(INDEX('Agenda 2026'!$B$2:$B$376,MATCH(DATE(2026,12,30)*10+11,'Agenda 2026'!$S$2:$S$376,0)),""),"")&amp;IF(COUNTIFS('Agenda 2026'!$Q$2:$Q$376,DATE(2026,12,30),'Agenda 2026'!$M$2:$M$376,1)&gt;=12,CHAR(10)&amp;IFERROR(INDEX('Agenda 2026'!$B$2:$B$376,MATCH(DATE(2026,12,30)*10+12,'Agenda 2026'!$S$2:$S$376,0)),""),"")</f>
        <v>30</v>
      </c>
      <c r="E113" s="58" t="str">
        <f t="array" ref="E113">31&amp;IF(COUNTIFS('Agenda 2026'!$Q$2:$Q$376,DATE(2026,12,31),'Agenda 2026'!$M$2:$M$376,1)&gt;=1,CHAR(10)&amp;IFERROR(INDEX('Agenda 2026'!$B$2:$B$376,MATCH(DATE(2026,12,31)*10+1,'Agenda 2026'!$S$2:$S$376,0)),""),"")&amp;IF(COUNTIFS('Agenda 2026'!$Q$2:$Q$376,DATE(2026,12,31),'Agenda 2026'!$M$2:$M$376,1)&gt;=2,CHAR(10)&amp;IFERROR(INDEX('Agenda 2026'!$B$2:$B$376,MATCH(DATE(2026,12,31)*10+2,'Agenda 2026'!$S$2:$S$376,0)),""),"")&amp;IF(COUNTIFS('Agenda 2026'!$Q$2:$Q$376,DATE(2026,12,31),'Agenda 2026'!$M$2:$M$376,1)&gt;=3,CHAR(10)&amp;IFERROR(INDEX('Agenda 2026'!$B$2:$B$376,MATCH(DATE(2026,12,31)*10+3,'Agenda 2026'!$S$2:$S$376,0)),""),"")&amp;IF(COUNTIFS('Agenda 2026'!$Q$2:$Q$376,DATE(2026,12,31),'Agenda 2026'!$M$2:$M$376,1)&gt;=4,CHAR(10)&amp;IFERROR(INDEX('Agenda 2026'!$B$2:$B$376,MATCH(DATE(2026,12,31)*10+4,'Agenda 2026'!$S$2:$S$376,0)),""),"")&amp;IF(COUNTIFS('Agenda 2026'!$Q$2:$Q$376,DATE(2026,12,31),'Agenda 2026'!$M$2:$M$376,1)&gt;=5,CHAR(10)&amp;IFERROR(INDEX('Agenda 2026'!$B$2:$B$376,MATCH(DATE(2026,12,31)*10+5,'Agenda 2026'!$S$2:$S$376,0)),""),"")&amp;IF(COUNTIFS('Agenda 2026'!$Q$2:$Q$376,DATE(2026,12,31),'Agenda 2026'!$M$2:$M$376,1)&gt;=6,CHAR(10)&amp;IFERROR(INDEX('Agenda 2026'!$B$2:$B$376,MATCH(DATE(2026,12,31)*10+6,'Agenda 2026'!$S$2:$S$376,0)),""),"")&amp;IF(COUNTIFS('Agenda 2026'!$Q$2:$Q$376,DATE(2026,12,31),'Agenda 2026'!$M$2:$M$376,1)&gt;=7,CHAR(10)&amp;IFERROR(INDEX('Agenda 2026'!$B$2:$B$376,MATCH(DATE(2026,12,31)*10+7,'Agenda 2026'!$S$2:$S$376,0)),""),"")&amp;IF(COUNTIFS('Agenda 2026'!$Q$2:$Q$376,DATE(2026,12,31),'Agenda 2026'!$M$2:$M$376,1)&gt;=8,CHAR(10)&amp;IFERROR(INDEX('Agenda 2026'!$B$2:$B$376,MATCH(DATE(2026,12,31)*10+8,'Agenda 2026'!$S$2:$S$376,0)),""),"")&amp;IF(COUNTIFS('Agenda 2026'!$Q$2:$Q$376,DATE(2026,12,31),'Agenda 2026'!$M$2:$M$376,1)&gt;=9,CHAR(10)&amp;IFERROR(INDEX('Agenda 2026'!$B$2:$B$376,MATCH(DATE(2026,12,31)*10+9,'Agenda 2026'!$S$2:$S$376,0)),""),"")&amp;IF(COUNTIFS('Agenda 2026'!$Q$2:$Q$376,DATE(2026,12,31),'Agenda 2026'!$M$2:$M$376,1)&gt;=10,CHAR(10)&amp;IFERROR(INDEX('Agenda 2026'!$B$2:$B$376,MATCH(DATE(2026,12,31)*10+10,'Agenda 2026'!$S$2:$S$376,0)),""),"")&amp;IF(COUNTIFS('Agenda 2026'!$Q$2:$Q$376,DATE(2026,12,31),'Agenda 2026'!$M$2:$M$376,1)&gt;=11,CHAR(10)&amp;IFERROR(INDEX('Agenda 2026'!$B$2:$B$376,MATCH(DATE(2026,12,31)*10+11,'Agenda 2026'!$S$2:$S$376,0)),""),"")&amp;IF(COUNTIFS('Agenda 2026'!$Q$2:$Q$376,DATE(2026,12,31),'Agenda 2026'!$M$2:$M$376,1)&gt;=12,CHAR(10)&amp;IFERROR(INDEX('Agenda 2026'!$B$2:$B$376,MATCH(DATE(2026,12,31)*10+12,'Agenda 2026'!$S$2:$S$376,0)),""),"")</f>
        <v>31</v>
      </c>
      <c r="F113" s="57"/>
      <c r="G113" s="57"/>
      <c r="H113" s="57"/>
    </row>
    <row r="114" spans="1:8" ht="21.75" customHeight="1" x14ac:dyDescent="0.35">
      <c r="A114" s="17"/>
      <c r="B114" s="57"/>
      <c r="C114" s="57"/>
      <c r="D114" s="57"/>
      <c r="E114" s="57"/>
      <c r="F114" s="57"/>
      <c r="G114" s="57"/>
      <c r="H114" s="57"/>
    </row>
    <row r="115" spans="1:8" ht="15.75" customHeight="1" x14ac:dyDescent="0.35">
      <c r="A115" s="17"/>
      <c r="B115" s="17"/>
      <c r="C115" s="17"/>
      <c r="D115" s="17"/>
      <c r="E115" s="17"/>
      <c r="F115" s="17"/>
      <c r="G115" s="17"/>
      <c r="H115" s="17"/>
    </row>
    <row r="116" spans="1:8" ht="15.75" customHeight="1" x14ac:dyDescent="0.35">
      <c r="A116" s="17"/>
      <c r="B116" s="17"/>
      <c r="C116" s="17"/>
      <c r="D116" s="17"/>
      <c r="E116" s="17"/>
      <c r="F116" s="17"/>
      <c r="G116" s="17"/>
      <c r="H116" s="17"/>
    </row>
    <row r="310" spans="2:8" ht="15" hidden="1" customHeight="1" x14ac:dyDescent="0.35">
      <c r="E310" s="60">
        <f>COUNTIFS('Agenda 2026'!$Q$2:$Q$376,DATE(2026,1,1),'Agenda 2026'!$M$2:$M$376,1)</f>
        <v>0</v>
      </c>
      <c r="F310" s="60">
        <f>COUNTIFS('Agenda 2026'!$Q$2:$Q$376,DATE(2026,1,2),'Agenda 2026'!$M$2:$M$376,1)</f>
        <v>0</v>
      </c>
      <c r="G310" s="60">
        <f>COUNTIFS('Agenda 2026'!$Q$2:$Q$376,DATE(2026,1,3),'Agenda 2026'!$M$2:$M$376,1)</f>
        <v>0</v>
      </c>
      <c r="H310" s="60">
        <f>COUNTIFS('Agenda 2026'!$Q$2:$Q$376,DATE(2026,1,4),'Agenda 2026'!$M$2:$M$376,1)</f>
        <v>0</v>
      </c>
    </row>
    <row r="311" spans="2:8" ht="15" hidden="1" customHeight="1" x14ac:dyDescent="0.35">
      <c r="B311" s="60">
        <f>COUNTIFS('Agenda 2026'!$Q$2:$Q$376,DATE(2026,1,5),'Agenda 2026'!$M$2:$M$376,1)</f>
        <v>0</v>
      </c>
      <c r="C311" s="60">
        <f>COUNTIFS('Agenda 2026'!$Q$2:$Q$376,DATE(2026,1,6),'Agenda 2026'!$M$2:$M$376,1)</f>
        <v>0</v>
      </c>
      <c r="D311" s="60">
        <f>COUNTIFS('Agenda 2026'!$Q$2:$Q$376,DATE(2026,1,7),'Agenda 2026'!$M$2:$M$376,1)</f>
        <v>0</v>
      </c>
      <c r="E311" s="60">
        <f>COUNTIFS('Agenda 2026'!$Q$2:$Q$376,DATE(2026,1,8),'Agenda 2026'!$M$2:$M$376,1)</f>
        <v>0</v>
      </c>
      <c r="F311" s="60">
        <f>COUNTIFS('Agenda 2026'!$Q$2:$Q$376,DATE(2026,1,9),'Agenda 2026'!$M$2:$M$376,1)</f>
        <v>0</v>
      </c>
      <c r="G311" s="60">
        <f>COUNTIFS('Agenda 2026'!$Q$2:$Q$376,DATE(2026,1,10),'Agenda 2026'!$M$2:$M$376,1)</f>
        <v>0</v>
      </c>
      <c r="H311" s="60">
        <f>COUNTIFS('Agenda 2026'!$Q$2:$Q$376,DATE(2026,1,11),'Agenda 2026'!$M$2:$M$376,1)</f>
        <v>0</v>
      </c>
    </row>
    <row r="312" spans="2:8" ht="15" hidden="1" customHeight="1" x14ac:dyDescent="0.35">
      <c r="B312" s="60">
        <f>COUNTIFS('Agenda 2026'!$Q$2:$Q$376,DATE(2026,1,12),'Agenda 2026'!$M$2:$M$376,1)</f>
        <v>0</v>
      </c>
      <c r="C312" s="60">
        <f>COUNTIFS('Agenda 2026'!$Q$2:$Q$376,DATE(2026,1,13),'Agenda 2026'!$M$2:$M$376,1)</f>
        <v>0</v>
      </c>
      <c r="D312" s="60">
        <f>COUNTIFS('Agenda 2026'!$Q$2:$Q$376,DATE(2026,1,14),'Agenda 2026'!$M$2:$M$376,1)</f>
        <v>0</v>
      </c>
      <c r="E312" s="60">
        <f>COUNTIFS('Agenda 2026'!$Q$2:$Q$376,DATE(2026,1,15),'Agenda 2026'!$M$2:$M$376,1)</f>
        <v>0</v>
      </c>
      <c r="F312" s="60">
        <f>COUNTIFS('Agenda 2026'!$Q$2:$Q$376,DATE(2026,1,16),'Agenda 2026'!$M$2:$M$376,1)</f>
        <v>0</v>
      </c>
      <c r="G312" s="60">
        <f>COUNTIFS('Agenda 2026'!$Q$2:$Q$376,DATE(2026,1,17),'Agenda 2026'!$M$2:$M$376,1)</f>
        <v>0</v>
      </c>
      <c r="H312" s="60">
        <f>COUNTIFS('Agenda 2026'!$Q$2:$Q$376,DATE(2026,1,18),'Agenda 2026'!$M$2:$M$376,1)</f>
        <v>0</v>
      </c>
    </row>
    <row r="313" spans="2:8" ht="15" hidden="1" customHeight="1" x14ac:dyDescent="0.35">
      <c r="B313" s="60">
        <f>COUNTIFS('Agenda 2026'!$Q$2:$Q$376,DATE(2026,1,19),'Agenda 2026'!$M$2:$M$376,1)</f>
        <v>0</v>
      </c>
      <c r="C313" s="60">
        <f>COUNTIFS('Agenda 2026'!$Q$2:$Q$376,DATE(2026,1,20),'Agenda 2026'!$M$2:$M$376,1)</f>
        <v>0</v>
      </c>
      <c r="D313" s="60">
        <f>COUNTIFS('Agenda 2026'!$Q$2:$Q$376,DATE(2026,1,21),'Agenda 2026'!$M$2:$M$376,1)</f>
        <v>0</v>
      </c>
      <c r="E313" s="60">
        <f>COUNTIFS('Agenda 2026'!$Q$2:$Q$376,DATE(2026,1,22),'Agenda 2026'!$M$2:$M$376,1)</f>
        <v>0</v>
      </c>
      <c r="F313" s="60">
        <f>COUNTIFS('Agenda 2026'!$Q$2:$Q$376,DATE(2026,1,23),'Agenda 2026'!$M$2:$M$376,1)</f>
        <v>0</v>
      </c>
      <c r="G313" s="60">
        <f>COUNTIFS('Agenda 2026'!$Q$2:$Q$376,DATE(2026,1,24),'Agenda 2026'!$M$2:$M$376,1)</f>
        <v>0</v>
      </c>
      <c r="H313" s="60">
        <f>COUNTIFS('Agenda 2026'!$Q$2:$Q$376,DATE(2026,1,25),'Agenda 2026'!$M$2:$M$376,1)</f>
        <v>0</v>
      </c>
    </row>
    <row r="314" spans="2:8" ht="15" hidden="1" customHeight="1" x14ac:dyDescent="0.35">
      <c r="B314" s="60">
        <f>COUNTIFS('Agenda 2026'!$Q$2:$Q$376,DATE(2026,1,26),'Agenda 2026'!$M$2:$M$376,1)</f>
        <v>0</v>
      </c>
      <c r="C314" s="60">
        <f>COUNTIFS('Agenda 2026'!$Q$2:$Q$376,DATE(2026,1,27),'Agenda 2026'!$M$2:$M$376,1)</f>
        <v>0</v>
      </c>
      <c r="D314" s="60">
        <f>COUNTIFS('Agenda 2026'!$Q$2:$Q$376,DATE(2026,1,28),'Agenda 2026'!$M$2:$M$376,1)</f>
        <v>0</v>
      </c>
      <c r="E314" s="60">
        <f>COUNTIFS('Agenda 2026'!$Q$2:$Q$376,DATE(2026,1,29),'Agenda 2026'!$M$2:$M$376,1)</f>
        <v>0</v>
      </c>
      <c r="F314" s="60">
        <f>COUNTIFS('Agenda 2026'!$Q$2:$Q$376,DATE(2026,1,30),'Agenda 2026'!$M$2:$M$376,1)</f>
        <v>0</v>
      </c>
      <c r="G314" s="60">
        <f>COUNTIFS('Agenda 2026'!$Q$2:$Q$376,DATE(2026,1,31),'Agenda 2026'!$M$2:$M$376,1)</f>
        <v>0</v>
      </c>
    </row>
    <row r="315" spans="2:8" ht="15" hidden="1" customHeight="1" x14ac:dyDescent="0.35"/>
    <row r="316" spans="2:8" ht="15" hidden="1" customHeight="1" x14ac:dyDescent="0.35"/>
    <row r="317" spans="2:8" ht="15" hidden="1" customHeight="1" x14ac:dyDescent="0.35"/>
    <row r="318" spans="2:8" ht="15" hidden="1" customHeight="1" x14ac:dyDescent="0.35"/>
    <row r="319" spans="2:8" ht="15" hidden="1" customHeight="1" x14ac:dyDescent="0.35">
      <c r="H319" s="60">
        <f>COUNTIFS('Agenda 2026'!$Q$2:$Q$376,DATE(2026,2,1),'Agenda 2026'!$M$2:$M$376,1)</f>
        <v>0</v>
      </c>
    </row>
    <row r="320" spans="2:8" ht="15" hidden="1" customHeight="1" x14ac:dyDescent="0.35">
      <c r="B320" s="60">
        <f>COUNTIFS('Agenda 2026'!$Q$2:$Q$376,DATE(2026,2,2),'Agenda 2026'!$M$2:$M$376,1)</f>
        <v>0</v>
      </c>
      <c r="C320" s="60">
        <f>COUNTIFS('Agenda 2026'!$Q$2:$Q$376,DATE(2026,2,3),'Agenda 2026'!$M$2:$M$376,1)</f>
        <v>0</v>
      </c>
      <c r="D320" s="60">
        <f>COUNTIFS('Agenda 2026'!$Q$2:$Q$376,DATE(2026,2,4),'Agenda 2026'!$M$2:$M$376,1)</f>
        <v>0</v>
      </c>
      <c r="E320" s="60">
        <f>COUNTIFS('Agenda 2026'!$Q$2:$Q$376,DATE(2026,2,5),'Agenda 2026'!$M$2:$M$376,1)</f>
        <v>0</v>
      </c>
      <c r="F320" s="60">
        <f>COUNTIFS('Agenda 2026'!$Q$2:$Q$376,DATE(2026,2,6),'Agenda 2026'!$M$2:$M$376,1)</f>
        <v>0</v>
      </c>
      <c r="G320" s="60">
        <f>COUNTIFS('Agenda 2026'!$Q$2:$Q$376,DATE(2026,2,7),'Agenda 2026'!$M$2:$M$376,1)</f>
        <v>0</v>
      </c>
      <c r="H320" s="60">
        <f>COUNTIFS('Agenda 2026'!$Q$2:$Q$376,DATE(2026,2,8),'Agenda 2026'!$M$2:$M$376,1)</f>
        <v>0</v>
      </c>
    </row>
    <row r="321" spans="2:8" ht="15" hidden="1" customHeight="1" x14ac:dyDescent="0.35">
      <c r="B321" s="60">
        <f>COUNTIFS('Agenda 2026'!$Q$2:$Q$376,DATE(2026,2,9),'Agenda 2026'!$M$2:$M$376,1)</f>
        <v>0</v>
      </c>
      <c r="C321" s="60">
        <f>COUNTIFS('Agenda 2026'!$Q$2:$Q$376,DATE(2026,2,10),'Agenda 2026'!$M$2:$M$376,1)</f>
        <v>0</v>
      </c>
      <c r="D321" s="60">
        <f>COUNTIFS('Agenda 2026'!$Q$2:$Q$376,DATE(2026,2,11),'Agenda 2026'!$M$2:$M$376,1)</f>
        <v>0</v>
      </c>
      <c r="E321" s="60">
        <f>COUNTIFS('Agenda 2026'!$Q$2:$Q$376,DATE(2026,2,12),'Agenda 2026'!$M$2:$M$376,1)</f>
        <v>0</v>
      </c>
      <c r="F321" s="60">
        <f>COUNTIFS('Agenda 2026'!$Q$2:$Q$376,DATE(2026,2,13),'Agenda 2026'!$M$2:$M$376,1)</f>
        <v>0</v>
      </c>
      <c r="G321" s="60">
        <f>COUNTIFS('Agenda 2026'!$Q$2:$Q$376,DATE(2026,2,14),'Agenda 2026'!$M$2:$M$376,1)</f>
        <v>0</v>
      </c>
      <c r="H321" s="60">
        <f>COUNTIFS('Agenda 2026'!$Q$2:$Q$376,DATE(2026,2,15),'Agenda 2026'!$M$2:$M$376,1)</f>
        <v>0</v>
      </c>
    </row>
    <row r="322" spans="2:8" ht="15" hidden="1" customHeight="1" x14ac:dyDescent="0.35">
      <c r="B322" s="60">
        <f>COUNTIFS('Agenda 2026'!$Q$2:$Q$376,DATE(2026,2,16),'Agenda 2026'!$M$2:$M$376,1)</f>
        <v>0</v>
      </c>
      <c r="C322" s="60">
        <f>COUNTIFS('Agenda 2026'!$Q$2:$Q$376,DATE(2026,2,17),'Agenda 2026'!$M$2:$M$376,1)</f>
        <v>0</v>
      </c>
      <c r="D322" s="60">
        <f>COUNTIFS('Agenda 2026'!$Q$2:$Q$376,DATE(2026,2,18),'Agenda 2026'!$M$2:$M$376,1)</f>
        <v>0</v>
      </c>
      <c r="E322" s="60">
        <f>COUNTIFS('Agenda 2026'!$Q$2:$Q$376,DATE(2026,2,19),'Agenda 2026'!$M$2:$M$376,1)</f>
        <v>0</v>
      </c>
      <c r="F322" s="60">
        <f>COUNTIFS('Agenda 2026'!$Q$2:$Q$376,DATE(2026,2,20),'Agenda 2026'!$M$2:$M$376,1)</f>
        <v>0</v>
      </c>
      <c r="G322" s="60">
        <f>COUNTIFS('Agenda 2026'!$Q$2:$Q$376,DATE(2026,2,21),'Agenda 2026'!$M$2:$M$376,1)</f>
        <v>0</v>
      </c>
      <c r="H322" s="60">
        <f>COUNTIFS('Agenda 2026'!$Q$2:$Q$376,DATE(2026,2,22),'Agenda 2026'!$M$2:$M$376,1)</f>
        <v>0</v>
      </c>
    </row>
    <row r="323" spans="2:8" ht="15" hidden="1" customHeight="1" x14ac:dyDescent="0.35">
      <c r="B323" s="60">
        <f>COUNTIFS('Agenda 2026'!$Q$2:$Q$376,DATE(2026,2,23),'Agenda 2026'!$M$2:$M$376,1)</f>
        <v>0</v>
      </c>
      <c r="C323" s="60">
        <f>COUNTIFS('Agenda 2026'!$Q$2:$Q$376,DATE(2026,2,24),'Agenda 2026'!$M$2:$M$376,1)</f>
        <v>0</v>
      </c>
      <c r="D323" s="60">
        <f>COUNTIFS('Agenda 2026'!$Q$2:$Q$376,DATE(2026,2,25),'Agenda 2026'!$M$2:$M$376,1)</f>
        <v>0</v>
      </c>
      <c r="E323" s="60">
        <f>COUNTIFS('Agenda 2026'!$Q$2:$Q$376,DATE(2026,2,26),'Agenda 2026'!$M$2:$M$376,1)</f>
        <v>0</v>
      </c>
      <c r="F323" s="60">
        <f>COUNTIFS('Agenda 2026'!$Q$2:$Q$376,DATE(2026,2,27),'Agenda 2026'!$M$2:$M$376,1)</f>
        <v>0</v>
      </c>
      <c r="G323" s="60">
        <f>COUNTIFS('Agenda 2026'!$Q$2:$Q$376,DATE(2026,2,28),'Agenda 2026'!$M$2:$M$376,1)</f>
        <v>0</v>
      </c>
    </row>
    <row r="324" spans="2:8" ht="15" hidden="1" customHeight="1" x14ac:dyDescent="0.35"/>
    <row r="325" spans="2:8" ht="15" hidden="1" customHeight="1" x14ac:dyDescent="0.35"/>
    <row r="326" spans="2:8" ht="15" hidden="1" customHeight="1" x14ac:dyDescent="0.35"/>
    <row r="327" spans="2:8" ht="15" hidden="1" customHeight="1" x14ac:dyDescent="0.35"/>
    <row r="328" spans="2:8" ht="15" hidden="1" customHeight="1" x14ac:dyDescent="0.35">
      <c r="H328" s="60">
        <f>COUNTIFS('Agenda 2026'!$Q$2:$Q$376,DATE(2026,3,1),'Agenda 2026'!$M$2:$M$376,1)</f>
        <v>0</v>
      </c>
    </row>
    <row r="329" spans="2:8" ht="15" hidden="1" customHeight="1" x14ac:dyDescent="0.35">
      <c r="B329" s="60">
        <f>COUNTIFS('Agenda 2026'!$Q$2:$Q$376,DATE(2026,3,2),'Agenda 2026'!$M$2:$M$376,1)</f>
        <v>0</v>
      </c>
      <c r="C329" s="60">
        <f>COUNTIFS('Agenda 2026'!$Q$2:$Q$376,DATE(2026,3,3),'Agenda 2026'!$M$2:$M$376,1)</f>
        <v>0</v>
      </c>
      <c r="D329" s="60">
        <f>COUNTIFS('Agenda 2026'!$Q$2:$Q$376,DATE(2026,3,4),'Agenda 2026'!$M$2:$M$376,1)</f>
        <v>0</v>
      </c>
      <c r="E329" s="60">
        <f>COUNTIFS('Agenda 2026'!$Q$2:$Q$376,DATE(2026,3,5),'Agenda 2026'!$M$2:$M$376,1)</f>
        <v>0</v>
      </c>
      <c r="F329" s="60">
        <f>COUNTIFS('Agenda 2026'!$Q$2:$Q$376,DATE(2026,3,6),'Agenda 2026'!$M$2:$M$376,1)</f>
        <v>0</v>
      </c>
      <c r="G329" s="60">
        <f>COUNTIFS('Agenda 2026'!$Q$2:$Q$376,DATE(2026,3,7),'Agenda 2026'!$M$2:$M$376,1)</f>
        <v>0</v>
      </c>
      <c r="H329" s="60">
        <f>COUNTIFS('Agenda 2026'!$Q$2:$Q$376,DATE(2026,3,8),'Agenda 2026'!$M$2:$M$376,1)</f>
        <v>0</v>
      </c>
    </row>
    <row r="330" spans="2:8" ht="15" hidden="1" customHeight="1" x14ac:dyDescent="0.35">
      <c r="B330" s="60">
        <f>COUNTIFS('Agenda 2026'!$Q$2:$Q$376,DATE(2026,3,9),'Agenda 2026'!$M$2:$M$376,1)</f>
        <v>0</v>
      </c>
      <c r="C330" s="60">
        <f>COUNTIFS('Agenda 2026'!$Q$2:$Q$376,DATE(2026,3,10),'Agenda 2026'!$M$2:$M$376,1)</f>
        <v>0</v>
      </c>
      <c r="D330" s="60">
        <f>COUNTIFS('Agenda 2026'!$Q$2:$Q$376,DATE(2026,3,11),'Agenda 2026'!$M$2:$M$376,1)</f>
        <v>0</v>
      </c>
      <c r="E330" s="60">
        <f>COUNTIFS('Agenda 2026'!$Q$2:$Q$376,DATE(2026,3,12),'Agenda 2026'!$M$2:$M$376,1)</f>
        <v>0</v>
      </c>
      <c r="F330" s="60">
        <f>COUNTIFS('Agenda 2026'!$Q$2:$Q$376,DATE(2026,3,13),'Agenda 2026'!$M$2:$M$376,1)</f>
        <v>0</v>
      </c>
      <c r="G330" s="60">
        <f>COUNTIFS('Agenda 2026'!$Q$2:$Q$376,DATE(2026,3,14),'Agenda 2026'!$M$2:$M$376,1)</f>
        <v>0</v>
      </c>
      <c r="H330" s="60">
        <f>COUNTIFS('Agenda 2026'!$Q$2:$Q$376,DATE(2026,3,15),'Agenda 2026'!$M$2:$M$376,1)</f>
        <v>0</v>
      </c>
    </row>
    <row r="331" spans="2:8" ht="15" hidden="1" customHeight="1" x14ac:dyDescent="0.35">
      <c r="B331" s="60">
        <f>COUNTIFS('Agenda 2026'!$Q$2:$Q$376,DATE(2026,3,16),'Agenda 2026'!$M$2:$M$376,1)</f>
        <v>0</v>
      </c>
      <c r="C331" s="60">
        <f>COUNTIFS('Agenda 2026'!$Q$2:$Q$376,DATE(2026,3,17),'Agenda 2026'!$M$2:$M$376,1)</f>
        <v>0</v>
      </c>
      <c r="D331" s="60">
        <f>COUNTIFS('Agenda 2026'!$Q$2:$Q$376,DATE(2026,3,18),'Agenda 2026'!$M$2:$M$376,1)</f>
        <v>0</v>
      </c>
      <c r="E331" s="60">
        <f>COUNTIFS('Agenda 2026'!$Q$2:$Q$376,DATE(2026,3,19),'Agenda 2026'!$M$2:$M$376,1)</f>
        <v>0</v>
      </c>
      <c r="F331" s="60">
        <f>COUNTIFS('Agenda 2026'!$Q$2:$Q$376,DATE(2026,3,20),'Agenda 2026'!$M$2:$M$376,1)</f>
        <v>0</v>
      </c>
      <c r="G331" s="60">
        <f>COUNTIFS('Agenda 2026'!$Q$2:$Q$376,DATE(2026,3,21),'Agenda 2026'!$M$2:$M$376,1)</f>
        <v>0</v>
      </c>
      <c r="H331" s="60">
        <f>COUNTIFS('Agenda 2026'!$Q$2:$Q$376,DATE(2026,3,22),'Agenda 2026'!$M$2:$M$376,1)</f>
        <v>0</v>
      </c>
    </row>
    <row r="332" spans="2:8" ht="15" hidden="1" customHeight="1" x14ac:dyDescent="0.35">
      <c r="B332" s="60">
        <f>COUNTIFS('Agenda 2026'!$Q$2:$Q$376,DATE(2026,3,23),'Agenda 2026'!$M$2:$M$376,1)</f>
        <v>0</v>
      </c>
      <c r="C332" s="60">
        <f>COUNTIFS('Agenda 2026'!$Q$2:$Q$376,DATE(2026,3,24),'Agenda 2026'!$M$2:$M$376,1)</f>
        <v>0</v>
      </c>
      <c r="D332" s="60">
        <f>COUNTIFS('Agenda 2026'!$Q$2:$Q$376,DATE(2026,3,25),'Agenda 2026'!$M$2:$M$376,1)</f>
        <v>0</v>
      </c>
      <c r="E332" s="60">
        <f>COUNTIFS('Agenda 2026'!$Q$2:$Q$376,DATE(2026,3,26),'Agenda 2026'!$M$2:$M$376,1)</f>
        <v>0</v>
      </c>
      <c r="F332" s="60">
        <f>COUNTIFS('Agenda 2026'!$Q$2:$Q$376,DATE(2026,3,27),'Agenda 2026'!$M$2:$M$376,1)</f>
        <v>0</v>
      </c>
      <c r="G332" s="60">
        <f>COUNTIFS('Agenda 2026'!$Q$2:$Q$376,DATE(2026,3,28),'Agenda 2026'!$M$2:$M$376,1)</f>
        <v>0</v>
      </c>
      <c r="H332" s="60">
        <f>COUNTIFS('Agenda 2026'!$Q$2:$Q$376,DATE(2026,3,29),'Agenda 2026'!$M$2:$M$376,1)</f>
        <v>0</v>
      </c>
    </row>
    <row r="333" spans="2:8" ht="15" hidden="1" customHeight="1" x14ac:dyDescent="0.35">
      <c r="B333" s="60">
        <f>COUNTIFS('Agenda 2026'!$Q$2:$Q$376,DATE(2026,3,30),'Agenda 2026'!$M$2:$M$376,1)</f>
        <v>0</v>
      </c>
      <c r="C333" s="60">
        <f>COUNTIFS('Agenda 2026'!$Q$2:$Q$376,DATE(2026,3,31),'Agenda 2026'!$M$2:$M$376,1)</f>
        <v>0</v>
      </c>
    </row>
    <row r="334" spans="2:8" ht="15" hidden="1" customHeight="1" x14ac:dyDescent="0.35"/>
    <row r="335" spans="2:8" ht="15" hidden="1" customHeight="1" x14ac:dyDescent="0.35"/>
    <row r="336" spans="2:8" ht="15" hidden="1" customHeight="1" x14ac:dyDescent="0.35"/>
    <row r="337" spans="2:8" ht="15" hidden="1" customHeight="1" x14ac:dyDescent="0.35"/>
    <row r="338" spans="2:8" ht="15" hidden="1" customHeight="1" x14ac:dyDescent="0.35">
      <c r="D338" s="60">
        <f>COUNTIFS('Agenda 2026'!$Q$2:$Q$376,DATE(2026,4,1),'Agenda 2026'!$M$2:$M$376,1)</f>
        <v>0</v>
      </c>
      <c r="E338" s="60">
        <f>COUNTIFS('Agenda 2026'!$Q$2:$Q$376,DATE(2026,4,2),'Agenda 2026'!$M$2:$M$376,1)</f>
        <v>0</v>
      </c>
      <c r="F338" s="60">
        <f>COUNTIFS('Agenda 2026'!$Q$2:$Q$376,DATE(2026,4,3),'Agenda 2026'!$M$2:$M$376,1)</f>
        <v>0</v>
      </c>
      <c r="G338" s="60">
        <f>COUNTIFS('Agenda 2026'!$Q$2:$Q$376,DATE(2026,4,4),'Agenda 2026'!$M$2:$M$376,1)</f>
        <v>0</v>
      </c>
      <c r="H338" s="60">
        <f>COUNTIFS('Agenda 2026'!$Q$2:$Q$376,DATE(2026,4,5),'Agenda 2026'!$M$2:$M$376,1)</f>
        <v>0</v>
      </c>
    </row>
    <row r="339" spans="2:8" ht="15" hidden="1" customHeight="1" x14ac:dyDescent="0.35">
      <c r="B339" s="60">
        <f>COUNTIFS('Agenda 2026'!$Q$2:$Q$376,DATE(2026,4,6),'Agenda 2026'!$M$2:$M$376,1)</f>
        <v>0</v>
      </c>
      <c r="C339" s="60">
        <f>COUNTIFS('Agenda 2026'!$Q$2:$Q$376,DATE(2026,4,7),'Agenda 2026'!$M$2:$M$376,1)</f>
        <v>0</v>
      </c>
      <c r="D339" s="60">
        <f>COUNTIFS('Agenda 2026'!$Q$2:$Q$376,DATE(2026,4,8),'Agenda 2026'!$M$2:$M$376,1)</f>
        <v>0</v>
      </c>
      <c r="E339" s="60">
        <f>COUNTIFS('Agenda 2026'!$Q$2:$Q$376,DATE(2026,4,9),'Agenda 2026'!$M$2:$M$376,1)</f>
        <v>0</v>
      </c>
      <c r="F339" s="60">
        <f>COUNTIFS('Agenda 2026'!$Q$2:$Q$376,DATE(2026,4,10),'Agenda 2026'!$M$2:$M$376,1)</f>
        <v>0</v>
      </c>
      <c r="G339" s="60">
        <f>COUNTIFS('Agenda 2026'!$Q$2:$Q$376,DATE(2026,4,11),'Agenda 2026'!$M$2:$M$376,1)</f>
        <v>0</v>
      </c>
      <c r="H339" s="60">
        <f>COUNTIFS('Agenda 2026'!$Q$2:$Q$376,DATE(2026,4,12),'Agenda 2026'!$M$2:$M$376,1)</f>
        <v>0</v>
      </c>
    </row>
    <row r="340" spans="2:8" ht="15" hidden="1" customHeight="1" x14ac:dyDescent="0.35">
      <c r="B340" s="60">
        <f>COUNTIFS('Agenda 2026'!$Q$2:$Q$376,DATE(2026,4,13),'Agenda 2026'!$M$2:$M$376,1)</f>
        <v>0</v>
      </c>
      <c r="C340" s="60">
        <f>COUNTIFS('Agenda 2026'!$Q$2:$Q$376,DATE(2026,4,14),'Agenda 2026'!$M$2:$M$376,1)</f>
        <v>0</v>
      </c>
      <c r="D340" s="60">
        <f>COUNTIFS('Agenda 2026'!$Q$2:$Q$376,DATE(2026,4,15),'Agenda 2026'!$M$2:$M$376,1)</f>
        <v>0</v>
      </c>
      <c r="E340" s="60">
        <f>COUNTIFS('Agenda 2026'!$Q$2:$Q$376,DATE(2026,4,16),'Agenda 2026'!$M$2:$M$376,1)</f>
        <v>0</v>
      </c>
      <c r="F340" s="60">
        <f>COUNTIFS('Agenda 2026'!$Q$2:$Q$376,DATE(2026,4,17),'Agenda 2026'!$M$2:$M$376,1)</f>
        <v>0</v>
      </c>
      <c r="G340" s="60">
        <f>COUNTIFS('Agenda 2026'!$Q$2:$Q$376,DATE(2026,4,18),'Agenda 2026'!$M$2:$M$376,1)</f>
        <v>0</v>
      </c>
      <c r="H340" s="60">
        <f>COUNTIFS('Agenda 2026'!$Q$2:$Q$376,DATE(2026,4,19),'Agenda 2026'!$M$2:$M$376,1)</f>
        <v>0</v>
      </c>
    </row>
    <row r="341" spans="2:8" ht="15" hidden="1" customHeight="1" x14ac:dyDescent="0.35">
      <c r="B341" s="60">
        <f>COUNTIFS('Agenda 2026'!$Q$2:$Q$376,DATE(2026,4,20),'Agenda 2026'!$M$2:$M$376,1)</f>
        <v>0</v>
      </c>
      <c r="C341" s="60">
        <f>COUNTIFS('Agenda 2026'!$Q$2:$Q$376,DATE(2026,4,21),'Agenda 2026'!$M$2:$M$376,1)</f>
        <v>0</v>
      </c>
      <c r="D341" s="60">
        <f>COUNTIFS('Agenda 2026'!$Q$2:$Q$376,DATE(2026,4,22),'Agenda 2026'!$M$2:$M$376,1)</f>
        <v>0</v>
      </c>
      <c r="E341" s="60">
        <f>COUNTIFS('Agenda 2026'!$Q$2:$Q$376,DATE(2026,4,23),'Agenda 2026'!$M$2:$M$376,1)</f>
        <v>0</v>
      </c>
      <c r="F341" s="60">
        <f>COUNTIFS('Agenda 2026'!$Q$2:$Q$376,DATE(2026,4,24),'Agenda 2026'!$M$2:$M$376,1)</f>
        <v>0</v>
      </c>
      <c r="G341" s="60">
        <f>COUNTIFS('Agenda 2026'!$Q$2:$Q$376,DATE(2026,4,25),'Agenda 2026'!$M$2:$M$376,1)</f>
        <v>0</v>
      </c>
      <c r="H341" s="60">
        <f>COUNTIFS('Agenda 2026'!$Q$2:$Q$376,DATE(2026,4,26),'Agenda 2026'!$M$2:$M$376,1)</f>
        <v>0</v>
      </c>
    </row>
    <row r="342" spans="2:8" ht="15" hidden="1" customHeight="1" x14ac:dyDescent="0.35">
      <c r="B342" s="60">
        <f>COUNTIFS('Agenda 2026'!$Q$2:$Q$376,DATE(2026,4,27),'Agenda 2026'!$M$2:$M$376,1)</f>
        <v>0</v>
      </c>
      <c r="C342" s="60">
        <f>COUNTIFS('Agenda 2026'!$Q$2:$Q$376,DATE(2026,4,28),'Agenda 2026'!$M$2:$M$376,1)</f>
        <v>0</v>
      </c>
      <c r="D342" s="60">
        <f>COUNTIFS('Agenda 2026'!$Q$2:$Q$376,DATE(2026,4,29),'Agenda 2026'!$M$2:$M$376,1)</f>
        <v>0</v>
      </c>
      <c r="E342" s="60">
        <f>COUNTIFS('Agenda 2026'!$Q$2:$Q$376,DATE(2026,4,30),'Agenda 2026'!$M$2:$M$376,1)</f>
        <v>0</v>
      </c>
    </row>
    <row r="343" spans="2:8" ht="15" hidden="1" customHeight="1" x14ac:dyDescent="0.35"/>
    <row r="344" spans="2:8" ht="15" hidden="1" customHeight="1" x14ac:dyDescent="0.35"/>
    <row r="345" spans="2:8" ht="15" hidden="1" customHeight="1" x14ac:dyDescent="0.35"/>
    <row r="346" spans="2:8" ht="15" hidden="1" customHeight="1" x14ac:dyDescent="0.35"/>
    <row r="347" spans="2:8" ht="15" hidden="1" customHeight="1" x14ac:dyDescent="0.35">
      <c r="F347" s="60">
        <f>COUNTIFS('Agenda 2026'!$Q$2:$Q$376,DATE(2026,5,1),'Agenda 2026'!$M$2:$M$376,1)</f>
        <v>0</v>
      </c>
      <c r="G347" s="60">
        <f>COUNTIFS('Agenda 2026'!$Q$2:$Q$376,DATE(2026,5,2),'Agenda 2026'!$M$2:$M$376,1)</f>
        <v>0</v>
      </c>
      <c r="H347" s="60">
        <f>COUNTIFS('Agenda 2026'!$Q$2:$Q$376,DATE(2026,5,3),'Agenda 2026'!$M$2:$M$376,1)</f>
        <v>0</v>
      </c>
    </row>
    <row r="348" spans="2:8" ht="15" hidden="1" customHeight="1" x14ac:dyDescent="0.35">
      <c r="B348" s="60">
        <f>COUNTIFS('Agenda 2026'!$Q$2:$Q$376,DATE(2026,5,4),'Agenda 2026'!$M$2:$M$376,1)</f>
        <v>0</v>
      </c>
      <c r="C348" s="60">
        <f>COUNTIFS('Agenda 2026'!$Q$2:$Q$376,DATE(2026,5,5),'Agenda 2026'!$M$2:$M$376,1)</f>
        <v>0</v>
      </c>
      <c r="D348" s="60">
        <f>COUNTIFS('Agenda 2026'!$Q$2:$Q$376,DATE(2026,5,6),'Agenda 2026'!$M$2:$M$376,1)</f>
        <v>0</v>
      </c>
      <c r="E348" s="60">
        <f>COUNTIFS('Agenda 2026'!$Q$2:$Q$376,DATE(2026,5,7),'Agenda 2026'!$M$2:$M$376,1)</f>
        <v>0</v>
      </c>
      <c r="F348" s="60">
        <f>COUNTIFS('Agenda 2026'!$Q$2:$Q$376,DATE(2026,5,8),'Agenda 2026'!$M$2:$M$376,1)</f>
        <v>0</v>
      </c>
      <c r="G348" s="60">
        <f>COUNTIFS('Agenda 2026'!$Q$2:$Q$376,DATE(2026,5,9),'Agenda 2026'!$M$2:$M$376,1)</f>
        <v>0</v>
      </c>
      <c r="H348" s="60">
        <f>COUNTIFS('Agenda 2026'!$Q$2:$Q$376,DATE(2026,5,10),'Agenda 2026'!$M$2:$M$376,1)</f>
        <v>0</v>
      </c>
    </row>
    <row r="349" spans="2:8" ht="15" hidden="1" customHeight="1" x14ac:dyDescent="0.35">
      <c r="B349" s="60">
        <f>COUNTIFS('Agenda 2026'!$Q$2:$Q$376,DATE(2026,5,11),'Agenda 2026'!$M$2:$M$376,1)</f>
        <v>0</v>
      </c>
      <c r="C349" s="60">
        <f>COUNTIFS('Agenda 2026'!$Q$2:$Q$376,DATE(2026,5,12),'Agenda 2026'!$M$2:$M$376,1)</f>
        <v>0</v>
      </c>
      <c r="D349" s="60">
        <f>COUNTIFS('Agenda 2026'!$Q$2:$Q$376,DATE(2026,5,13),'Agenda 2026'!$M$2:$M$376,1)</f>
        <v>0</v>
      </c>
      <c r="E349" s="60">
        <f>COUNTIFS('Agenda 2026'!$Q$2:$Q$376,DATE(2026,5,14),'Agenda 2026'!$M$2:$M$376,1)</f>
        <v>0</v>
      </c>
      <c r="F349" s="60">
        <f>COUNTIFS('Agenda 2026'!$Q$2:$Q$376,DATE(2026,5,15),'Agenda 2026'!$M$2:$M$376,1)</f>
        <v>0</v>
      </c>
      <c r="G349" s="60">
        <f>COUNTIFS('Agenda 2026'!$Q$2:$Q$376,DATE(2026,5,16),'Agenda 2026'!$M$2:$M$376,1)</f>
        <v>0</v>
      </c>
      <c r="H349" s="60">
        <f>COUNTIFS('Agenda 2026'!$Q$2:$Q$376,DATE(2026,5,17),'Agenda 2026'!$M$2:$M$376,1)</f>
        <v>0</v>
      </c>
    </row>
    <row r="350" spans="2:8" ht="15" hidden="1" customHeight="1" x14ac:dyDescent="0.35">
      <c r="B350" s="60">
        <f>COUNTIFS('Agenda 2026'!$Q$2:$Q$376,DATE(2026,5,18),'Agenda 2026'!$M$2:$M$376,1)</f>
        <v>0</v>
      </c>
      <c r="C350" s="60">
        <f>COUNTIFS('Agenda 2026'!$Q$2:$Q$376,DATE(2026,5,19),'Agenda 2026'!$M$2:$M$376,1)</f>
        <v>0</v>
      </c>
      <c r="D350" s="60">
        <f>COUNTIFS('Agenda 2026'!$Q$2:$Q$376,DATE(2026,5,20),'Agenda 2026'!$M$2:$M$376,1)</f>
        <v>0</v>
      </c>
      <c r="E350" s="60">
        <f>COUNTIFS('Agenda 2026'!$Q$2:$Q$376,DATE(2026,5,21),'Agenda 2026'!$M$2:$M$376,1)</f>
        <v>0</v>
      </c>
      <c r="F350" s="60">
        <f>COUNTIFS('Agenda 2026'!$Q$2:$Q$376,DATE(2026,5,22),'Agenda 2026'!$M$2:$M$376,1)</f>
        <v>0</v>
      </c>
      <c r="G350" s="60">
        <f>COUNTIFS('Agenda 2026'!$Q$2:$Q$376,DATE(2026,5,23),'Agenda 2026'!$M$2:$M$376,1)</f>
        <v>0</v>
      </c>
      <c r="H350" s="60">
        <f>COUNTIFS('Agenda 2026'!$Q$2:$Q$376,DATE(2026,5,24),'Agenda 2026'!$M$2:$M$376,1)</f>
        <v>0</v>
      </c>
    </row>
    <row r="351" spans="2:8" ht="15" hidden="1" customHeight="1" x14ac:dyDescent="0.35">
      <c r="B351" s="60">
        <f>COUNTIFS('Agenda 2026'!$Q$2:$Q$376,DATE(2026,5,25),'Agenda 2026'!$M$2:$M$376,1)</f>
        <v>0</v>
      </c>
      <c r="C351" s="60">
        <f>COUNTIFS('Agenda 2026'!$Q$2:$Q$376,DATE(2026,5,26),'Agenda 2026'!$M$2:$M$376,1)</f>
        <v>0</v>
      </c>
      <c r="D351" s="60">
        <f>COUNTIFS('Agenda 2026'!$Q$2:$Q$376,DATE(2026,5,27),'Agenda 2026'!$M$2:$M$376,1)</f>
        <v>0</v>
      </c>
      <c r="E351" s="60">
        <f>COUNTIFS('Agenda 2026'!$Q$2:$Q$376,DATE(2026,5,28),'Agenda 2026'!$M$2:$M$376,1)</f>
        <v>0</v>
      </c>
      <c r="F351" s="60">
        <f>COUNTIFS('Agenda 2026'!$Q$2:$Q$376,DATE(2026,5,29),'Agenda 2026'!$M$2:$M$376,1)</f>
        <v>0</v>
      </c>
      <c r="G351" s="60">
        <f>COUNTIFS('Agenda 2026'!$Q$2:$Q$376,DATE(2026,5,30),'Agenda 2026'!$M$2:$M$376,1)</f>
        <v>0</v>
      </c>
      <c r="H351" s="60">
        <f>COUNTIFS('Agenda 2026'!$Q$2:$Q$376,DATE(2026,5,31),'Agenda 2026'!$M$2:$M$376,1)</f>
        <v>0</v>
      </c>
    </row>
    <row r="352" spans="2:8" ht="15" hidden="1" customHeight="1" x14ac:dyDescent="0.35"/>
    <row r="353" spans="2:8" ht="15" hidden="1" customHeight="1" x14ac:dyDescent="0.35"/>
    <row r="354" spans="2:8" ht="15" hidden="1" customHeight="1" x14ac:dyDescent="0.35"/>
    <row r="355" spans="2:8" ht="15" hidden="1" customHeight="1" x14ac:dyDescent="0.35"/>
    <row r="356" spans="2:8" ht="15" hidden="1" customHeight="1" x14ac:dyDescent="0.35">
      <c r="B356" s="60">
        <f>COUNTIFS('Agenda 2026'!$Q$2:$Q$376,DATE(2026,6,1),'Agenda 2026'!$M$2:$M$376,1)</f>
        <v>0</v>
      </c>
      <c r="C356" s="60">
        <f>COUNTIFS('Agenda 2026'!$Q$2:$Q$376,DATE(2026,6,2),'Agenda 2026'!$M$2:$M$376,1)</f>
        <v>0</v>
      </c>
      <c r="D356" s="60">
        <f>COUNTIFS('Agenda 2026'!$Q$2:$Q$376,DATE(2026,6,3),'Agenda 2026'!$M$2:$M$376,1)</f>
        <v>0</v>
      </c>
      <c r="E356" s="60">
        <f>COUNTIFS('Agenda 2026'!$Q$2:$Q$376,DATE(2026,6,4),'Agenda 2026'!$M$2:$M$376,1)</f>
        <v>0</v>
      </c>
      <c r="F356" s="60">
        <f>COUNTIFS('Agenda 2026'!$Q$2:$Q$376,DATE(2026,6,5),'Agenda 2026'!$M$2:$M$376,1)</f>
        <v>0</v>
      </c>
      <c r="G356" s="60">
        <f>COUNTIFS('Agenda 2026'!$Q$2:$Q$376,DATE(2026,6,6),'Agenda 2026'!$M$2:$M$376,1)</f>
        <v>0</v>
      </c>
      <c r="H356" s="60">
        <f>COUNTIFS('Agenda 2026'!$Q$2:$Q$376,DATE(2026,6,7),'Agenda 2026'!$M$2:$M$376,1)</f>
        <v>0</v>
      </c>
    </row>
    <row r="357" spans="2:8" ht="15" hidden="1" customHeight="1" x14ac:dyDescent="0.35">
      <c r="B357" s="60">
        <f>COUNTIFS('Agenda 2026'!$Q$2:$Q$376,DATE(2026,6,8),'Agenda 2026'!$M$2:$M$376,1)</f>
        <v>0</v>
      </c>
      <c r="C357" s="60">
        <f>COUNTIFS('Agenda 2026'!$Q$2:$Q$376,DATE(2026,6,9),'Agenda 2026'!$M$2:$M$376,1)</f>
        <v>0</v>
      </c>
      <c r="D357" s="60">
        <f>COUNTIFS('Agenda 2026'!$Q$2:$Q$376,DATE(2026,6,10),'Agenda 2026'!$M$2:$M$376,1)</f>
        <v>0</v>
      </c>
      <c r="E357" s="60">
        <f>COUNTIFS('Agenda 2026'!$Q$2:$Q$376,DATE(2026,6,11),'Agenda 2026'!$M$2:$M$376,1)</f>
        <v>0</v>
      </c>
      <c r="F357" s="60">
        <f>COUNTIFS('Agenda 2026'!$Q$2:$Q$376,DATE(2026,6,12),'Agenda 2026'!$M$2:$M$376,1)</f>
        <v>0</v>
      </c>
      <c r="G357" s="60">
        <f>COUNTIFS('Agenda 2026'!$Q$2:$Q$376,DATE(2026,6,13),'Agenda 2026'!$M$2:$M$376,1)</f>
        <v>0</v>
      </c>
      <c r="H357" s="60">
        <f>COUNTIFS('Agenda 2026'!$Q$2:$Q$376,DATE(2026,6,14),'Agenda 2026'!$M$2:$M$376,1)</f>
        <v>0</v>
      </c>
    </row>
    <row r="358" spans="2:8" ht="15" hidden="1" customHeight="1" x14ac:dyDescent="0.35">
      <c r="B358" s="60">
        <f>COUNTIFS('Agenda 2026'!$Q$2:$Q$376,DATE(2026,6,15),'Agenda 2026'!$M$2:$M$376,1)</f>
        <v>0</v>
      </c>
      <c r="C358" s="60">
        <f>COUNTIFS('Agenda 2026'!$Q$2:$Q$376,DATE(2026,6,16),'Agenda 2026'!$M$2:$M$376,1)</f>
        <v>0</v>
      </c>
      <c r="D358" s="60">
        <f>COUNTIFS('Agenda 2026'!$Q$2:$Q$376,DATE(2026,6,17),'Agenda 2026'!$M$2:$M$376,1)</f>
        <v>0</v>
      </c>
      <c r="E358" s="60">
        <f>COUNTIFS('Agenda 2026'!$Q$2:$Q$376,DATE(2026,6,18),'Agenda 2026'!$M$2:$M$376,1)</f>
        <v>0</v>
      </c>
      <c r="F358" s="60">
        <f>COUNTIFS('Agenda 2026'!$Q$2:$Q$376,DATE(2026,6,19),'Agenda 2026'!$M$2:$M$376,1)</f>
        <v>0</v>
      </c>
      <c r="G358" s="60">
        <f>COUNTIFS('Agenda 2026'!$Q$2:$Q$376,DATE(2026,6,20),'Agenda 2026'!$M$2:$M$376,1)</f>
        <v>0</v>
      </c>
      <c r="H358" s="60">
        <f>COUNTIFS('Agenda 2026'!$Q$2:$Q$376,DATE(2026,6,21),'Agenda 2026'!$M$2:$M$376,1)</f>
        <v>0</v>
      </c>
    </row>
    <row r="359" spans="2:8" ht="15" hidden="1" customHeight="1" x14ac:dyDescent="0.35">
      <c r="B359" s="60">
        <f>COUNTIFS('Agenda 2026'!$Q$2:$Q$376,DATE(2026,6,22),'Agenda 2026'!$M$2:$M$376,1)</f>
        <v>0</v>
      </c>
      <c r="C359" s="60">
        <f>COUNTIFS('Agenda 2026'!$Q$2:$Q$376,DATE(2026,6,23),'Agenda 2026'!$M$2:$M$376,1)</f>
        <v>0</v>
      </c>
      <c r="D359" s="60">
        <f>COUNTIFS('Agenda 2026'!$Q$2:$Q$376,DATE(2026,6,24),'Agenda 2026'!$M$2:$M$376,1)</f>
        <v>0</v>
      </c>
      <c r="E359" s="60">
        <f>COUNTIFS('Agenda 2026'!$Q$2:$Q$376,DATE(2026,6,25),'Agenda 2026'!$M$2:$M$376,1)</f>
        <v>0</v>
      </c>
      <c r="F359" s="60">
        <f>COUNTIFS('Agenda 2026'!$Q$2:$Q$376,DATE(2026,6,26),'Agenda 2026'!$M$2:$M$376,1)</f>
        <v>0</v>
      </c>
      <c r="G359" s="60">
        <f>COUNTIFS('Agenda 2026'!$Q$2:$Q$376,DATE(2026,6,27),'Agenda 2026'!$M$2:$M$376,1)</f>
        <v>0</v>
      </c>
      <c r="H359" s="60">
        <f>COUNTIFS('Agenda 2026'!$Q$2:$Q$376,DATE(2026,6,28),'Agenda 2026'!$M$2:$M$376,1)</f>
        <v>0</v>
      </c>
    </row>
    <row r="360" spans="2:8" ht="15" hidden="1" customHeight="1" x14ac:dyDescent="0.35">
      <c r="B360" s="60">
        <f>COUNTIFS('Agenda 2026'!$Q$2:$Q$376,DATE(2026,6,29),'Agenda 2026'!$M$2:$M$376,1)</f>
        <v>0</v>
      </c>
      <c r="C360" s="60">
        <f>COUNTIFS('Agenda 2026'!$Q$2:$Q$376,DATE(2026,6,30),'Agenda 2026'!$M$2:$M$376,1)</f>
        <v>0</v>
      </c>
    </row>
    <row r="361" spans="2:8" ht="15" hidden="1" customHeight="1" x14ac:dyDescent="0.35"/>
    <row r="362" spans="2:8" ht="15" hidden="1" customHeight="1" x14ac:dyDescent="0.35"/>
    <row r="363" spans="2:8" ht="15" hidden="1" customHeight="1" x14ac:dyDescent="0.35"/>
    <row r="364" spans="2:8" ht="15" hidden="1" customHeight="1" x14ac:dyDescent="0.35">
      <c r="D364" s="60">
        <f>COUNTIFS('Agenda 2026'!$Q$2:$Q$376,DATE(2026,7,1),'Agenda 2026'!$M$2:$M$376,1)</f>
        <v>0</v>
      </c>
      <c r="E364" s="60">
        <f>COUNTIFS('Agenda 2026'!$Q$2:$Q$376,DATE(2026,7,2),'Agenda 2026'!$M$2:$M$376,1)</f>
        <v>0</v>
      </c>
      <c r="F364" s="60">
        <f>COUNTIFS('Agenda 2026'!$Q$2:$Q$376,DATE(2026,7,3),'Agenda 2026'!$M$2:$M$376,1)</f>
        <v>0</v>
      </c>
      <c r="G364" s="60">
        <f>COUNTIFS('Agenda 2026'!$Q$2:$Q$376,DATE(2026,7,4),'Agenda 2026'!$M$2:$M$376,1)</f>
        <v>0</v>
      </c>
      <c r="H364" s="60">
        <f>COUNTIFS('Agenda 2026'!$Q$2:$Q$376,DATE(2026,7,5),'Agenda 2026'!$M$2:$M$376,1)</f>
        <v>0</v>
      </c>
    </row>
    <row r="365" spans="2:8" ht="15" hidden="1" customHeight="1" x14ac:dyDescent="0.35">
      <c r="B365" s="60">
        <f>COUNTIFS('Agenda 2026'!$Q$2:$Q$376,DATE(2026,7,6),'Agenda 2026'!$M$2:$M$376,1)</f>
        <v>0</v>
      </c>
      <c r="C365" s="60">
        <f>COUNTIFS('Agenda 2026'!$Q$2:$Q$376,DATE(2026,7,7),'Agenda 2026'!$M$2:$M$376,1)</f>
        <v>0</v>
      </c>
      <c r="D365" s="60">
        <f>COUNTIFS('Agenda 2026'!$Q$2:$Q$376,DATE(2026,7,8),'Agenda 2026'!$M$2:$M$376,1)</f>
        <v>0</v>
      </c>
      <c r="E365" s="60">
        <f>COUNTIFS('Agenda 2026'!$Q$2:$Q$376,DATE(2026,7,9),'Agenda 2026'!$M$2:$M$376,1)</f>
        <v>0</v>
      </c>
      <c r="F365" s="60">
        <f>COUNTIFS('Agenda 2026'!$Q$2:$Q$376,DATE(2026,7,10),'Agenda 2026'!$M$2:$M$376,1)</f>
        <v>0</v>
      </c>
      <c r="G365" s="60">
        <f>COUNTIFS('Agenda 2026'!$Q$2:$Q$376,DATE(2026,7,11),'Agenda 2026'!$M$2:$M$376,1)</f>
        <v>0</v>
      </c>
      <c r="H365" s="60">
        <f>COUNTIFS('Agenda 2026'!$Q$2:$Q$376,DATE(2026,7,12),'Agenda 2026'!$M$2:$M$376,1)</f>
        <v>0</v>
      </c>
    </row>
    <row r="366" spans="2:8" ht="15" hidden="1" customHeight="1" x14ac:dyDescent="0.35">
      <c r="B366" s="60">
        <f>COUNTIFS('Agenda 2026'!$Q$2:$Q$376,DATE(2026,7,13),'Agenda 2026'!$M$2:$M$376,1)</f>
        <v>0</v>
      </c>
      <c r="C366" s="60">
        <f>COUNTIFS('Agenda 2026'!$Q$2:$Q$376,DATE(2026,7,14),'Agenda 2026'!$M$2:$M$376,1)</f>
        <v>0</v>
      </c>
      <c r="D366" s="60">
        <f>COUNTIFS('Agenda 2026'!$Q$2:$Q$376,DATE(2026,7,15),'Agenda 2026'!$M$2:$M$376,1)</f>
        <v>0</v>
      </c>
      <c r="E366" s="60">
        <f>COUNTIFS('Agenda 2026'!$Q$2:$Q$376,DATE(2026,7,16),'Agenda 2026'!$M$2:$M$376,1)</f>
        <v>0</v>
      </c>
      <c r="F366" s="60">
        <f>COUNTIFS('Agenda 2026'!$Q$2:$Q$376,DATE(2026,7,17),'Agenda 2026'!$M$2:$M$376,1)</f>
        <v>0</v>
      </c>
      <c r="G366" s="60">
        <f>COUNTIFS('Agenda 2026'!$Q$2:$Q$376,DATE(2026,7,18),'Agenda 2026'!$M$2:$M$376,1)</f>
        <v>0</v>
      </c>
      <c r="H366" s="60">
        <f>COUNTIFS('Agenda 2026'!$Q$2:$Q$376,DATE(2026,7,19),'Agenda 2026'!$M$2:$M$376,1)</f>
        <v>0</v>
      </c>
    </row>
    <row r="367" spans="2:8" ht="15" hidden="1" customHeight="1" x14ac:dyDescent="0.35">
      <c r="B367" s="60">
        <f>COUNTIFS('Agenda 2026'!$Q$2:$Q$376,DATE(2026,7,20),'Agenda 2026'!$M$2:$M$376,1)</f>
        <v>0</v>
      </c>
      <c r="C367" s="60">
        <f>COUNTIFS('Agenda 2026'!$Q$2:$Q$376,DATE(2026,7,21),'Agenda 2026'!$M$2:$M$376,1)</f>
        <v>0</v>
      </c>
      <c r="D367" s="60">
        <f>COUNTIFS('Agenda 2026'!$Q$2:$Q$376,DATE(2026,7,22),'Agenda 2026'!$M$2:$M$376,1)</f>
        <v>0</v>
      </c>
      <c r="E367" s="60">
        <f>COUNTIFS('Agenda 2026'!$Q$2:$Q$376,DATE(2026,7,23),'Agenda 2026'!$M$2:$M$376,1)</f>
        <v>0</v>
      </c>
      <c r="F367" s="60">
        <f>COUNTIFS('Agenda 2026'!$Q$2:$Q$376,DATE(2026,7,24),'Agenda 2026'!$M$2:$M$376,1)</f>
        <v>0</v>
      </c>
      <c r="G367" s="60">
        <f>COUNTIFS('Agenda 2026'!$Q$2:$Q$376,DATE(2026,7,25),'Agenda 2026'!$M$2:$M$376,1)</f>
        <v>0</v>
      </c>
      <c r="H367" s="60">
        <f>COUNTIFS('Agenda 2026'!$Q$2:$Q$376,DATE(2026,7,26),'Agenda 2026'!$M$2:$M$376,1)</f>
        <v>0</v>
      </c>
    </row>
    <row r="368" spans="2:8" ht="15" hidden="1" customHeight="1" x14ac:dyDescent="0.35">
      <c r="B368" s="60">
        <f>COUNTIFS('Agenda 2026'!$Q$2:$Q$376,DATE(2026,7,27),'Agenda 2026'!$M$2:$M$376,1)</f>
        <v>0</v>
      </c>
      <c r="C368" s="60">
        <f>COUNTIFS('Agenda 2026'!$Q$2:$Q$376,DATE(2026,7,28),'Agenda 2026'!$M$2:$M$376,1)</f>
        <v>0</v>
      </c>
      <c r="D368" s="60">
        <f>COUNTIFS('Agenda 2026'!$Q$2:$Q$376,DATE(2026,7,29),'Agenda 2026'!$M$2:$M$376,1)</f>
        <v>0</v>
      </c>
      <c r="E368" s="60">
        <f>COUNTIFS('Agenda 2026'!$Q$2:$Q$376,DATE(2026,7,30),'Agenda 2026'!$M$2:$M$376,1)</f>
        <v>0</v>
      </c>
      <c r="F368" s="60">
        <f>COUNTIFS('Agenda 2026'!$Q$2:$Q$376,DATE(2026,7,31),'Agenda 2026'!$M$2:$M$376,1)</f>
        <v>0</v>
      </c>
    </row>
    <row r="369" spans="2:8" ht="15" hidden="1" customHeight="1" x14ac:dyDescent="0.35"/>
    <row r="370" spans="2:8" ht="15" hidden="1" customHeight="1" x14ac:dyDescent="0.35"/>
    <row r="371" spans="2:8" ht="15" hidden="1" customHeight="1" x14ac:dyDescent="0.35"/>
    <row r="372" spans="2:8" ht="15" hidden="1" customHeight="1" x14ac:dyDescent="0.35"/>
    <row r="373" spans="2:8" ht="15" hidden="1" customHeight="1" x14ac:dyDescent="0.35">
      <c r="G373" s="60">
        <f>COUNTIFS('Agenda 2026'!$Q$2:$Q$376,DATE(2026,8,1),'Agenda 2026'!$M$2:$M$376,1)</f>
        <v>0</v>
      </c>
      <c r="H373" s="60">
        <f>COUNTIFS('Agenda 2026'!$Q$2:$Q$376,DATE(2026,8,2),'Agenda 2026'!$M$2:$M$376,1)</f>
        <v>0</v>
      </c>
    </row>
    <row r="374" spans="2:8" ht="15" hidden="1" customHeight="1" x14ac:dyDescent="0.35">
      <c r="B374" s="60">
        <f>COUNTIFS('Agenda 2026'!$Q$2:$Q$376,DATE(2026,8,3),'Agenda 2026'!$M$2:$M$376,1)</f>
        <v>0</v>
      </c>
      <c r="C374" s="60">
        <f>COUNTIFS('Agenda 2026'!$Q$2:$Q$376,DATE(2026,8,4),'Agenda 2026'!$M$2:$M$376,1)</f>
        <v>0</v>
      </c>
      <c r="D374" s="60">
        <f>COUNTIFS('Agenda 2026'!$Q$2:$Q$376,DATE(2026,8,5),'Agenda 2026'!$M$2:$M$376,1)</f>
        <v>0</v>
      </c>
      <c r="E374" s="60">
        <f>COUNTIFS('Agenda 2026'!$Q$2:$Q$376,DATE(2026,8,6),'Agenda 2026'!$M$2:$M$376,1)</f>
        <v>0</v>
      </c>
      <c r="F374" s="60">
        <f>COUNTIFS('Agenda 2026'!$Q$2:$Q$376,DATE(2026,8,7),'Agenda 2026'!$M$2:$M$376,1)</f>
        <v>0</v>
      </c>
      <c r="G374" s="60">
        <f>COUNTIFS('Agenda 2026'!$Q$2:$Q$376,DATE(2026,8,8),'Agenda 2026'!$M$2:$M$376,1)</f>
        <v>0</v>
      </c>
      <c r="H374" s="60">
        <f>COUNTIFS('Agenda 2026'!$Q$2:$Q$376,DATE(2026,8,9),'Agenda 2026'!$M$2:$M$376,1)</f>
        <v>0</v>
      </c>
    </row>
    <row r="375" spans="2:8" ht="15" hidden="1" customHeight="1" x14ac:dyDescent="0.35">
      <c r="B375" s="60">
        <f>COUNTIFS('Agenda 2026'!$Q$2:$Q$376,DATE(2026,8,10),'Agenda 2026'!$M$2:$M$376,1)</f>
        <v>0</v>
      </c>
      <c r="C375" s="60">
        <f>COUNTIFS('Agenda 2026'!$Q$2:$Q$376,DATE(2026,8,11),'Agenda 2026'!$M$2:$M$376,1)</f>
        <v>0</v>
      </c>
      <c r="D375" s="60">
        <f>COUNTIFS('Agenda 2026'!$Q$2:$Q$376,DATE(2026,8,12),'Agenda 2026'!$M$2:$M$376,1)</f>
        <v>0</v>
      </c>
      <c r="E375" s="60">
        <f>COUNTIFS('Agenda 2026'!$Q$2:$Q$376,DATE(2026,8,13),'Agenda 2026'!$M$2:$M$376,1)</f>
        <v>0</v>
      </c>
      <c r="F375" s="60">
        <f>COUNTIFS('Agenda 2026'!$Q$2:$Q$376,DATE(2026,8,14),'Agenda 2026'!$M$2:$M$376,1)</f>
        <v>0</v>
      </c>
      <c r="G375" s="60">
        <f>COUNTIFS('Agenda 2026'!$Q$2:$Q$376,DATE(2026,8,15),'Agenda 2026'!$M$2:$M$376,1)</f>
        <v>0</v>
      </c>
      <c r="H375" s="60">
        <f>COUNTIFS('Agenda 2026'!$Q$2:$Q$376,DATE(2026,8,16),'Agenda 2026'!$M$2:$M$376,1)</f>
        <v>0</v>
      </c>
    </row>
    <row r="376" spans="2:8" ht="15" hidden="1" customHeight="1" x14ac:dyDescent="0.35">
      <c r="B376" s="60">
        <f>COUNTIFS('Agenda 2026'!$Q$2:$Q$376,DATE(2026,8,17),'Agenda 2026'!$M$2:$M$376,1)</f>
        <v>0</v>
      </c>
      <c r="C376" s="60">
        <f>COUNTIFS('Agenda 2026'!$Q$2:$Q$376,DATE(2026,8,18),'Agenda 2026'!$M$2:$M$376,1)</f>
        <v>0</v>
      </c>
      <c r="D376" s="60">
        <f>COUNTIFS('Agenda 2026'!$Q$2:$Q$376,DATE(2026,8,19),'Agenda 2026'!$M$2:$M$376,1)</f>
        <v>0</v>
      </c>
      <c r="E376" s="60">
        <f>COUNTIFS('Agenda 2026'!$Q$2:$Q$376,DATE(2026,8,20),'Agenda 2026'!$M$2:$M$376,1)</f>
        <v>0</v>
      </c>
      <c r="F376" s="60">
        <f>COUNTIFS('Agenda 2026'!$Q$2:$Q$376,DATE(2026,8,21),'Agenda 2026'!$M$2:$M$376,1)</f>
        <v>0</v>
      </c>
      <c r="G376" s="60">
        <f>COUNTIFS('Agenda 2026'!$Q$2:$Q$376,DATE(2026,8,22),'Agenda 2026'!$M$2:$M$376,1)</f>
        <v>0</v>
      </c>
      <c r="H376" s="60">
        <f>COUNTIFS('Agenda 2026'!$Q$2:$Q$376,DATE(2026,8,23),'Agenda 2026'!$M$2:$M$376,1)</f>
        <v>0</v>
      </c>
    </row>
    <row r="377" spans="2:8" ht="15" hidden="1" customHeight="1" x14ac:dyDescent="0.35">
      <c r="B377" s="60">
        <f>COUNTIFS('Agenda 2026'!$Q$2:$Q$376,DATE(2026,8,24),'Agenda 2026'!$M$2:$M$376,1)</f>
        <v>0</v>
      </c>
      <c r="C377" s="60">
        <f>COUNTIFS('Agenda 2026'!$Q$2:$Q$376,DATE(2026,8,25),'Agenda 2026'!$M$2:$M$376,1)</f>
        <v>0</v>
      </c>
      <c r="D377" s="60">
        <f>COUNTIFS('Agenda 2026'!$Q$2:$Q$376,DATE(2026,8,26),'Agenda 2026'!$M$2:$M$376,1)</f>
        <v>0</v>
      </c>
      <c r="E377" s="60">
        <f>COUNTIFS('Agenda 2026'!$Q$2:$Q$376,DATE(2026,8,27),'Agenda 2026'!$M$2:$M$376,1)</f>
        <v>0</v>
      </c>
      <c r="F377" s="60">
        <f>COUNTIFS('Agenda 2026'!$Q$2:$Q$376,DATE(2026,8,28),'Agenda 2026'!$M$2:$M$376,1)</f>
        <v>0</v>
      </c>
      <c r="G377" s="60">
        <f>COUNTIFS('Agenda 2026'!$Q$2:$Q$376,DATE(2026,8,29),'Agenda 2026'!$M$2:$M$376,1)</f>
        <v>0</v>
      </c>
      <c r="H377" s="60">
        <f>COUNTIFS('Agenda 2026'!$Q$2:$Q$376,DATE(2026,8,30),'Agenda 2026'!$M$2:$M$376,1)</f>
        <v>0</v>
      </c>
    </row>
    <row r="378" spans="2:8" ht="15" hidden="1" customHeight="1" x14ac:dyDescent="0.35">
      <c r="B378" s="60">
        <f>COUNTIFS('Agenda 2026'!$Q$2:$Q$376,DATE(2026,8,31),'Agenda 2026'!$M$2:$M$376,1)</f>
        <v>0</v>
      </c>
    </row>
    <row r="379" spans="2:8" ht="15" hidden="1" customHeight="1" x14ac:dyDescent="0.35"/>
    <row r="380" spans="2:8" ht="15" hidden="1" customHeight="1" x14ac:dyDescent="0.35"/>
    <row r="381" spans="2:8" ht="15" hidden="1" customHeight="1" x14ac:dyDescent="0.35"/>
    <row r="382" spans="2:8" ht="15" hidden="1" customHeight="1" x14ac:dyDescent="0.35">
      <c r="C382" s="60">
        <f>COUNTIFS('Agenda 2026'!$Q$2:$Q$376,DATE(2026,9,1),'Agenda 2026'!$M$2:$M$376,1)</f>
        <v>0</v>
      </c>
      <c r="D382" s="60">
        <f>COUNTIFS('Agenda 2026'!$Q$2:$Q$376,DATE(2026,9,2),'Agenda 2026'!$M$2:$M$376,1)</f>
        <v>0</v>
      </c>
      <c r="E382" s="60">
        <f>COUNTIFS('Agenda 2026'!$Q$2:$Q$376,DATE(2026,9,3),'Agenda 2026'!$M$2:$M$376,1)</f>
        <v>0</v>
      </c>
      <c r="F382" s="60">
        <f>COUNTIFS('Agenda 2026'!$Q$2:$Q$376,DATE(2026,9,4),'Agenda 2026'!$M$2:$M$376,1)</f>
        <v>0</v>
      </c>
      <c r="G382" s="60">
        <f>COUNTIFS('Agenda 2026'!$Q$2:$Q$376,DATE(2026,9,5),'Agenda 2026'!$M$2:$M$376,1)</f>
        <v>0</v>
      </c>
      <c r="H382" s="60">
        <f>COUNTIFS('Agenda 2026'!$Q$2:$Q$376,DATE(2026,9,6),'Agenda 2026'!$M$2:$M$376,1)</f>
        <v>0</v>
      </c>
    </row>
    <row r="383" spans="2:8" ht="15" hidden="1" customHeight="1" x14ac:dyDescent="0.35">
      <c r="B383" s="60">
        <f>COUNTIFS('Agenda 2026'!$Q$2:$Q$376,DATE(2026,9,7),'Agenda 2026'!$M$2:$M$376,1)</f>
        <v>0</v>
      </c>
      <c r="C383" s="60">
        <f>COUNTIFS('Agenda 2026'!$Q$2:$Q$376,DATE(2026,9,8),'Agenda 2026'!$M$2:$M$376,1)</f>
        <v>0</v>
      </c>
      <c r="D383" s="60">
        <f>COUNTIFS('Agenda 2026'!$Q$2:$Q$376,DATE(2026,9,9),'Agenda 2026'!$M$2:$M$376,1)</f>
        <v>0</v>
      </c>
      <c r="E383" s="60">
        <f>COUNTIFS('Agenda 2026'!$Q$2:$Q$376,DATE(2026,9,10),'Agenda 2026'!$M$2:$M$376,1)</f>
        <v>0</v>
      </c>
      <c r="F383" s="60">
        <f>COUNTIFS('Agenda 2026'!$Q$2:$Q$376,DATE(2026,9,11),'Agenda 2026'!$M$2:$M$376,1)</f>
        <v>0</v>
      </c>
      <c r="G383" s="60">
        <f>COUNTIFS('Agenda 2026'!$Q$2:$Q$376,DATE(2026,9,12),'Agenda 2026'!$M$2:$M$376,1)</f>
        <v>0</v>
      </c>
      <c r="H383" s="60">
        <f>COUNTIFS('Agenda 2026'!$Q$2:$Q$376,DATE(2026,9,13),'Agenda 2026'!$M$2:$M$376,1)</f>
        <v>0</v>
      </c>
    </row>
    <row r="384" spans="2:8" ht="15" hidden="1" customHeight="1" x14ac:dyDescent="0.35">
      <c r="B384" s="60">
        <f>COUNTIFS('Agenda 2026'!$Q$2:$Q$376,DATE(2026,9,14),'Agenda 2026'!$M$2:$M$376,1)</f>
        <v>0</v>
      </c>
      <c r="C384" s="60">
        <f>COUNTIFS('Agenda 2026'!$Q$2:$Q$376,DATE(2026,9,15),'Agenda 2026'!$M$2:$M$376,1)</f>
        <v>0</v>
      </c>
      <c r="D384" s="60">
        <f>COUNTIFS('Agenda 2026'!$Q$2:$Q$376,DATE(2026,9,16),'Agenda 2026'!$M$2:$M$376,1)</f>
        <v>0</v>
      </c>
      <c r="E384" s="60">
        <f>COUNTIFS('Agenda 2026'!$Q$2:$Q$376,DATE(2026,9,17),'Agenda 2026'!$M$2:$M$376,1)</f>
        <v>0</v>
      </c>
      <c r="F384" s="60">
        <f>COUNTIFS('Agenda 2026'!$Q$2:$Q$376,DATE(2026,9,18),'Agenda 2026'!$M$2:$M$376,1)</f>
        <v>0</v>
      </c>
      <c r="G384" s="60">
        <f>COUNTIFS('Agenda 2026'!$Q$2:$Q$376,DATE(2026,9,19),'Agenda 2026'!$M$2:$M$376,1)</f>
        <v>0</v>
      </c>
      <c r="H384" s="60">
        <f>COUNTIFS('Agenda 2026'!$Q$2:$Q$376,DATE(2026,9,20),'Agenda 2026'!$M$2:$M$376,1)</f>
        <v>0</v>
      </c>
    </row>
    <row r="385" spans="2:8" ht="15" hidden="1" customHeight="1" x14ac:dyDescent="0.35">
      <c r="B385" s="60">
        <f>COUNTIFS('Agenda 2026'!$Q$2:$Q$376,DATE(2026,9,21),'Agenda 2026'!$M$2:$M$376,1)</f>
        <v>0</v>
      </c>
      <c r="C385" s="60">
        <f>COUNTIFS('Agenda 2026'!$Q$2:$Q$376,DATE(2026,9,22),'Agenda 2026'!$M$2:$M$376,1)</f>
        <v>0</v>
      </c>
      <c r="D385" s="60">
        <f>COUNTIFS('Agenda 2026'!$Q$2:$Q$376,DATE(2026,9,23),'Agenda 2026'!$M$2:$M$376,1)</f>
        <v>0</v>
      </c>
      <c r="E385" s="60">
        <f>COUNTIFS('Agenda 2026'!$Q$2:$Q$376,DATE(2026,9,24),'Agenda 2026'!$M$2:$M$376,1)</f>
        <v>0</v>
      </c>
      <c r="F385" s="60">
        <f>COUNTIFS('Agenda 2026'!$Q$2:$Q$376,DATE(2026,9,25),'Agenda 2026'!$M$2:$M$376,1)</f>
        <v>0</v>
      </c>
      <c r="G385" s="60">
        <f>COUNTIFS('Agenda 2026'!$Q$2:$Q$376,DATE(2026,9,26),'Agenda 2026'!$M$2:$M$376,1)</f>
        <v>0</v>
      </c>
      <c r="H385" s="60">
        <f>COUNTIFS('Agenda 2026'!$Q$2:$Q$376,DATE(2026,9,27),'Agenda 2026'!$M$2:$M$376,1)</f>
        <v>0</v>
      </c>
    </row>
    <row r="386" spans="2:8" ht="15" hidden="1" customHeight="1" x14ac:dyDescent="0.35">
      <c r="B386" s="60">
        <f>COUNTIFS('Agenda 2026'!$Q$2:$Q$376,DATE(2026,9,28),'Agenda 2026'!$M$2:$M$376,1)</f>
        <v>0</v>
      </c>
      <c r="C386" s="60">
        <f>COUNTIFS('Agenda 2026'!$Q$2:$Q$376,DATE(2026,9,29),'Agenda 2026'!$M$2:$M$376,1)</f>
        <v>0</v>
      </c>
      <c r="D386" s="60">
        <f>COUNTIFS('Agenda 2026'!$Q$2:$Q$376,DATE(2026,9,30),'Agenda 2026'!$M$2:$M$376,1)</f>
        <v>0</v>
      </c>
    </row>
    <row r="387" spans="2:8" ht="15" hidden="1" customHeight="1" x14ac:dyDescent="0.35"/>
    <row r="388" spans="2:8" ht="15" hidden="1" customHeight="1" x14ac:dyDescent="0.35"/>
    <row r="389" spans="2:8" ht="15" hidden="1" customHeight="1" x14ac:dyDescent="0.35"/>
    <row r="390" spans="2:8" ht="15" hidden="1" customHeight="1" x14ac:dyDescent="0.35"/>
    <row r="391" spans="2:8" ht="15" hidden="1" customHeight="1" x14ac:dyDescent="0.35">
      <c r="E391" s="60">
        <f>COUNTIFS('Agenda 2026'!$Q$2:$Q$376,DATE(2026,10,1),'Agenda 2026'!$M$2:$M$376,1)</f>
        <v>0</v>
      </c>
      <c r="F391" s="60">
        <f>COUNTIFS('Agenda 2026'!$Q$2:$Q$376,DATE(2026,10,2),'Agenda 2026'!$M$2:$M$376,1)</f>
        <v>0</v>
      </c>
      <c r="G391" s="60">
        <f>COUNTIFS('Agenda 2026'!$Q$2:$Q$376,DATE(2026,10,3),'Agenda 2026'!$M$2:$M$376,1)</f>
        <v>0</v>
      </c>
      <c r="H391" s="60">
        <f>COUNTIFS('Agenda 2026'!$Q$2:$Q$376,DATE(2026,10,4),'Agenda 2026'!$M$2:$M$376,1)</f>
        <v>0</v>
      </c>
    </row>
    <row r="392" spans="2:8" ht="15" hidden="1" customHeight="1" x14ac:dyDescent="0.35">
      <c r="B392" s="60">
        <f>COUNTIFS('Agenda 2026'!$Q$2:$Q$376,DATE(2026,10,5),'Agenda 2026'!$M$2:$M$376,1)</f>
        <v>0</v>
      </c>
      <c r="C392" s="60">
        <f>COUNTIFS('Agenda 2026'!$Q$2:$Q$376,DATE(2026,10,6),'Agenda 2026'!$M$2:$M$376,1)</f>
        <v>0</v>
      </c>
      <c r="D392" s="60">
        <f>COUNTIFS('Agenda 2026'!$Q$2:$Q$376,DATE(2026,10,7),'Agenda 2026'!$M$2:$M$376,1)</f>
        <v>0</v>
      </c>
      <c r="E392" s="60">
        <f>COUNTIFS('Agenda 2026'!$Q$2:$Q$376,DATE(2026,10,8),'Agenda 2026'!$M$2:$M$376,1)</f>
        <v>0</v>
      </c>
      <c r="F392" s="60">
        <f>COUNTIFS('Agenda 2026'!$Q$2:$Q$376,DATE(2026,10,9),'Agenda 2026'!$M$2:$M$376,1)</f>
        <v>0</v>
      </c>
      <c r="G392" s="60">
        <f>COUNTIFS('Agenda 2026'!$Q$2:$Q$376,DATE(2026,10,10),'Agenda 2026'!$M$2:$M$376,1)</f>
        <v>0</v>
      </c>
      <c r="H392" s="60">
        <f>COUNTIFS('Agenda 2026'!$Q$2:$Q$376,DATE(2026,10,11),'Agenda 2026'!$M$2:$M$376,1)</f>
        <v>0</v>
      </c>
    </row>
    <row r="393" spans="2:8" ht="15" hidden="1" customHeight="1" x14ac:dyDescent="0.35">
      <c r="B393" s="60">
        <f>COUNTIFS('Agenda 2026'!$Q$2:$Q$376,DATE(2026,10,12),'Agenda 2026'!$M$2:$M$376,1)</f>
        <v>0</v>
      </c>
      <c r="C393" s="60">
        <f>COUNTIFS('Agenda 2026'!$Q$2:$Q$376,DATE(2026,10,13),'Agenda 2026'!$M$2:$M$376,1)</f>
        <v>0</v>
      </c>
      <c r="D393" s="60">
        <f>COUNTIFS('Agenda 2026'!$Q$2:$Q$376,DATE(2026,10,14),'Agenda 2026'!$M$2:$M$376,1)</f>
        <v>0</v>
      </c>
      <c r="E393" s="60">
        <f>COUNTIFS('Agenda 2026'!$Q$2:$Q$376,DATE(2026,10,15),'Agenda 2026'!$M$2:$M$376,1)</f>
        <v>0</v>
      </c>
      <c r="F393" s="60">
        <f>COUNTIFS('Agenda 2026'!$Q$2:$Q$376,DATE(2026,10,16),'Agenda 2026'!$M$2:$M$376,1)</f>
        <v>0</v>
      </c>
      <c r="G393" s="60">
        <f>COUNTIFS('Agenda 2026'!$Q$2:$Q$376,DATE(2026,10,17),'Agenda 2026'!$M$2:$M$376,1)</f>
        <v>0</v>
      </c>
      <c r="H393" s="60">
        <f>COUNTIFS('Agenda 2026'!$Q$2:$Q$376,DATE(2026,10,18),'Agenda 2026'!$M$2:$M$376,1)</f>
        <v>0</v>
      </c>
    </row>
    <row r="394" spans="2:8" ht="15" hidden="1" customHeight="1" x14ac:dyDescent="0.35">
      <c r="B394" s="60">
        <f>COUNTIFS('Agenda 2026'!$Q$2:$Q$376,DATE(2026,10,19),'Agenda 2026'!$M$2:$M$376,1)</f>
        <v>0</v>
      </c>
      <c r="C394" s="60">
        <f>COUNTIFS('Agenda 2026'!$Q$2:$Q$376,DATE(2026,10,20),'Agenda 2026'!$M$2:$M$376,1)</f>
        <v>0</v>
      </c>
      <c r="D394" s="60">
        <f>COUNTIFS('Agenda 2026'!$Q$2:$Q$376,DATE(2026,10,21),'Agenda 2026'!$M$2:$M$376,1)</f>
        <v>0</v>
      </c>
      <c r="E394" s="60">
        <f>COUNTIFS('Agenda 2026'!$Q$2:$Q$376,DATE(2026,10,22),'Agenda 2026'!$M$2:$M$376,1)</f>
        <v>0</v>
      </c>
      <c r="F394" s="60">
        <f>COUNTIFS('Agenda 2026'!$Q$2:$Q$376,DATE(2026,10,23),'Agenda 2026'!$M$2:$M$376,1)</f>
        <v>0</v>
      </c>
      <c r="G394" s="60">
        <f>COUNTIFS('Agenda 2026'!$Q$2:$Q$376,DATE(2026,10,24),'Agenda 2026'!$M$2:$M$376,1)</f>
        <v>0</v>
      </c>
      <c r="H394" s="60">
        <f>COUNTIFS('Agenda 2026'!$Q$2:$Q$376,DATE(2026,10,25),'Agenda 2026'!$M$2:$M$376,1)</f>
        <v>0</v>
      </c>
    </row>
    <row r="395" spans="2:8" ht="15" hidden="1" customHeight="1" x14ac:dyDescent="0.35">
      <c r="B395" s="60">
        <f>COUNTIFS('Agenda 2026'!$Q$2:$Q$376,DATE(2026,10,26),'Agenda 2026'!$M$2:$M$376,1)</f>
        <v>0</v>
      </c>
      <c r="C395" s="60">
        <f>COUNTIFS('Agenda 2026'!$Q$2:$Q$376,DATE(2026,10,27),'Agenda 2026'!$M$2:$M$376,1)</f>
        <v>0</v>
      </c>
      <c r="D395" s="60">
        <f>COUNTIFS('Agenda 2026'!$Q$2:$Q$376,DATE(2026,10,28),'Agenda 2026'!$M$2:$M$376,1)</f>
        <v>0</v>
      </c>
      <c r="E395" s="60">
        <f>COUNTIFS('Agenda 2026'!$Q$2:$Q$376,DATE(2026,10,29),'Agenda 2026'!$M$2:$M$376,1)</f>
        <v>0</v>
      </c>
      <c r="F395" s="60">
        <f>COUNTIFS('Agenda 2026'!$Q$2:$Q$376,DATE(2026,10,30),'Agenda 2026'!$M$2:$M$376,1)</f>
        <v>0</v>
      </c>
      <c r="G395" s="60">
        <f>COUNTIFS('Agenda 2026'!$Q$2:$Q$376,DATE(2026,10,31),'Agenda 2026'!$M$2:$M$376,1)</f>
        <v>0</v>
      </c>
    </row>
    <row r="396" spans="2:8" ht="15" hidden="1" customHeight="1" x14ac:dyDescent="0.35"/>
    <row r="397" spans="2:8" ht="15" hidden="1" customHeight="1" x14ac:dyDescent="0.35"/>
    <row r="398" spans="2:8" ht="15" hidden="1" customHeight="1" x14ac:dyDescent="0.35"/>
    <row r="399" spans="2:8" ht="15" hidden="1" customHeight="1" x14ac:dyDescent="0.35"/>
    <row r="400" spans="2:8" ht="15" hidden="1" customHeight="1" x14ac:dyDescent="0.35">
      <c r="H400" s="60">
        <f>COUNTIFS('Agenda 2026'!$Q$2:$Q$376,DATE(2026,11,1),'Agenda 2026'!$M$2:$M$376,1)</f>
        <v>0</v>
      </c>
    </row>
    <row r="401" spans="2:8" ht="15" hidden="1" customHeight="1" x14ac:dyDescent="0.35">
      <c r="B401" s="60">
        <f>COUNTIFS('Agenda 2026'!$Q$2:$Q$376,DATE(2026,11,2),'Agenda 2026'!$M$2:$M$376,1)</f>
        <v>0</v>
      </c>
      <c r="C401" s="60">
        <f>COUNTIFS('Agenda 2026'!$Q$2:$Q$376,DATE(2026,11,3),'Agenda 2026'!$M$2:$M$376,1)</f>
        <v>0</v>
      </c>
      <c r="D401" s="60">
        <f>COUNTIFS('Agenda 2026'!$Q$2:$Q$376,DATE(2026,11,4),'Agenda 2026'!$M$2:$M$376,1)</f>
        <v>0</v>
      </c>
      <c r="E401" s="60">
        <f>COUNTIFS('Agenda 2026'!$Q$2:$Q$376,DATE(2026,11,5),'Agenda 2026'!$M$2:$M$376,1)</f>
        <v>0</v>
      </c>
      <c r="F401" s="60">
        <f>COUNTIFS('Agenda 2026'!$Q$2:$Q$376,DATE(2026,11,6),'Agenda 2026'!$M$2:$M$376,1)</f>
        <v>0</v>
      </c>
      <c r="G401" s="60">
        <f>COUNTIFS('Agenda 2026'!$Q$2:$Q$376,DATE(2026,11,7),'Agenda 2026'!$M$2:$M$376,1)</f>
        <v>0</v>
      </c>
      <c r="H401" s="60">
        <f>COUNTIFS('Agenda 2026'!$Q$2:$Q$376,DATE(2026,11,8),'Agenda 2026'!$M$2:$M$376,1)</f>
        <v>0</v>
      </c>
    </row>
    <row r="402" spans="2:8" ht="15" hidden="1" customHeight="1" x14ac:dyDescent="0.35">
      <c r="B402" s="60">
        <f>COUNTIFS('Agenda 2026'!$Q$2:$Q$376,DATE(2026,11,9),'Agenda 2026'!$M$2:$M$376,1)</f>
        <v>0</v>
      </c>
      <c r="C402" s="60">
        <f>COUNTIFS('Agenda 2026'!$Q$2:$Q$376,DATE(2026,11,10),'Agenda 2026'!$M$2:$M$376,1)</f>
        <v>0</v>
      </c>
      <c r="D402" s="60">
        <f>COUNTIFS('Agenda 2026'!$Q$2:$Q$376,DATE(2026,11,11),'Agenda 2026'!$M$2:$M$376,1)</f>
        <v>0</v>
      </c>
      <c r="E402" s="60">
        <f>COUNTIFS('Agenda 2026'!$Q$2:$Q$376,DATE(2026,11,12),'Agenda 2026'!$M$2:$M$376,1)</f>
        <v>0</v>
      </c>
      <c r="F402" s="60">
        <f>COUNTIFS('Agenda 2026'!$Q$2:$Q$376,DATE(2026,11,13),'Agenda 2026'!$M$2:$M$376,1)</f>
        <v>0</v>
      </c>
      <c r="G402" s="60">
        <f>COUNTIFS('Agenda 2026'!$Q$2:$Q$376,DATE(2026,11,14),'Agenda 2026'!$M$2:$M$376,1)</f>
        <v>0</v>
      </c>
      <c r="H402" s="60">
        <f>COUNTIFS('Agenda 2026'!$Q$2:$Q$376,DATE(2026,11,15),'Agenda 2026'!$M$2:$M$376,1)</f>
        <v>0</v>
      </c>
    </row>
    <row r="403" spans="2:8" ht="15" hidden="1" customHeight="1" x14ac:dyDescent="0.35">
      <c r="B403" s="60">
        <f>COUNTIFS('Agenda 2026'!$Q$2:$Q$376,DATE(2026,11,16),'Agenda 2026'!$M$2:$M$376,1)</f>
        <v>0</v>
      </c>
      <c r="C403" s="60">
        <f>COUNTIFS('Agenda 2026'!$Q$2:$Q$376,DATE(2026,11,17),'Agenda 2026'!$M$2:$M$376,1)</f>
        <v>0</v>
      </c>
      <c r="D403" s="60">
        <f>COUNTIFS('Agenda 2026'!$Q$2:$Q$376,DATE(2026,11,18),'Agenda 2026'!$M$2:$M$376,1)</f>
        <v>0</v>
      </c>
      <c r="E403" s="60">
        <f>COUNTIFS('Agenda 2026'!$Q$2:$Q$376,DATE(2026,11,19),'Agenda 2026'!$M$2:$M$376,1)</f>
        <v>0</v>
      </c>
      <c r="F403" s="60">
        <f>COUNTIFS('Agenda 2026'!$Q$2:$Q$376,DATE(2026,11,20),'Agenda 2026'!$M$2:$M$376,1)</f>
        <v>0</v>
      </c>
      <c r="G403" s="60">
        <f>COUNTIFS('Agenda 2026'!$Q$2:$Q$376,DATE(2026,11,21),'Agenda 2026'!$M$2:$M$376,1)</f>
        <v>0</v>
      </c>
      <c r="H403" s="60">
        <f>COUNTIFS('Agenda 2026'!$Q$2:$Q$376,DATE(2026,11,22),'Agenda 2026'!$M$2:$M$376,1)</f>
        <v>0</v>
      </c>
    </row>
    <row r="404" spans="2:8" ht="15" hidden="1" customHeight="1" x14ac:dyDescent="0.35">
      <c r="B404" s="60">
        <f>COUNTIFS('Agenda 2026'!$Q$2:$Q$376,DATE(2026,11,23),'Agenda 2026'!$M$2:$M$376,1)</f>
        <v>0</v>
      </c>
      <c r="C404" s="60">
        <f>COUNTIFS('Agenda 2026'!$Q$2:$Q$376,DATE(2026,11,24),'Agenda 2026'!$M$2:$M$376,1)</f>
        <v>0</v>
      </c>
      <c r="D404" s="60">
        <f>COUNTIFS('Agenda 2026'!$Q$2:$Q$376,DATE(2026,11,25),'Agenda 2026'!$M$2:$M$376,1)</f>
        <v>0</v>
      </c>
      <c r="E404" s="60">
        <f>COUNTIFS('Agenda 2026'!$Q$2:$Q$376,DATE(2026,11,26),'Agenda 2026'!$M$2:$M$376,1)</f>
        <v>0</v>
      </c>
      <c r="F404" s="60">
        <f>COUNTIFS('Agenda 2026'!$Q$2:$Q$376,DATE(2026,11,27),'Agenda 2026'!$M$2:$M$376,1)</f>
        <v>0</v>
      </c>
      <c r="G404" s="60">
        <f>COUNTIFS('Agenda 2026'!$Q$2:$Q$376,DATE(2026,11,28),'Agenda 2026'!$M$2:$M$376,1)</f>
        <v>0</v>
      </c>
      <c r="H404" s="60">
        <f>COUNTIFS('Agenda 2026'!$Q$2:$Q$376,DATE(2026,11,29),'Agenda 2026'!$M$2:$M$376,1)</f>
        <v>0</v>
      </c>
    </row>
    <row r="405" spans="2:8" ht="15" hidden="1" customHeight="1" x14ac:dyDescent="0.35">
      <c r="B405" s="60">
        <f>COUNTIFS('Agenda 2026'!$Q$2:$Q$376,DATE(2026,11,30),'Agenda 2026'!$M$2:$M$376,1)</f>
        <v>0</v>
      </c>
    </row>
    <row r="406" spans="2:8" ht="15" hidden="1" customHeight="1" x14ac:dyDescent="0.35"/>
    <row r="407" spans="2:8" ht="15" hidden="1" customHeight="1" x14ac:dyDescent="0.35"/>
    <row r="408" spans="2:8" ht="15" hidden="1" customHeight="1" x14ac:dyDescent="0.35"/>
    <row r="409" spans="2:8" ht="15" hidden="1" customHeight="1" x14ac:dyDescent="0.35">
      <c r="C409" s="60">
        <f>COUNTIFS('Agenda 2026'!$Q$2:$Q$376,DATE(2026,12,1),'Agenda 2026'!$M$2:$M$376,1)</f>
        <v>0</v>
      </c>
      <c r="D409" s="60">
        <f>COUNTIFS('Agenda 2026'!$Q$2:$Q$376,DATE(2026,12,2),'Agenda 2026'!$M$2:$M$376,1)</f>
        <v>0</v>
      </c>
      <c r="E409" s="60">
        <f>COUNTIFS('Agenda 2026'!$Q$2:$Q$376,DATE(2026,12,3),'Agenda 2026'!$M$2:$M$376,1)</f>
        <v>0</v>
      </c>
      <c r="F409" s="60">
        <f>COUNTIFS('Agenda 2026'!$Q$2:$Q$376,DATE(2026,12,4),'Agenda 2026'!$M$2:$M$376,1)</f>
        <v>0</v>
      </c>
      <c r="G409" s="60">
        <f>COUNTIFS('Agenda 2026'!$Q$2:$Q$376,DATE(2026,12,5),'Agenda 2026'!$M$2:$M$376,1)</f>
        <v>0</v>
      </c>
      <c r="H409" s="60">
        <f>COUNTIFS('Agenda 2026'!$Q$2:$Q$376,DATE(2026,12,6),'Agenda 2026'!$M$2:$M$376,1)</f>
        <v>0</v>
      </c>
    </row>
    <row r="410" spans="2:8" ht="15" hidden="1" customHeight="1" x14ac:dyDescent="0.35">
      <c r="B410" s="60">
        <f>COUNTIFS('Agenda 2026'!$Q$2:$Q$376,DATE(2026,12,7),'Agenda 2026'!$M$2:$M$376,1)</f>
        <v>0</v>
      </c>
      <c r="C410" s="60">
        <f>COUNTIFS('Agenda 2026'!$Q$2:$Q$376,DATE(2026,12,8),'Agenda 2026'!$M$2:$M$376,1)</f>
        <v>0</v>
      </c>
      <c r="D410" s="60">
        <f>COUNTIFS('Agenda 2026'!$Q$2:$Q$376,DATE(2026,12,9),'Agenda 2026'!$M$2:$M$376,1)</f>
        <v>0</v>
      </c>
      <c r="E410" s="60">
        <f>COUNTIFS('Agenda 2026'!$Q$2:$Q$376,DATE(2026,12,10),'Agenda 2026'!$M$2:$M$376,1)</f>
        <v>0</v>
      </c>
      <c r="F410" s="60">
        <f>COUNTIFS('Agenda 2026'!$Q$2:$Q$376,DATE(2026,12,11),'Agenda 2026'!$M$2:$M$376,1)</f>
        <v>0</v>
      </c>
      <c r="G410" s="60">
        <f>COUNTIFS('Agenda 2026'!$Q$2:$Q$376,DATE(2026,12,12),'Agenda 2026'!$M$2:$M$376,1)</f>
        <v>0</v>
      </c>
      <c r="H410" s="60">
        <f>COUNTIFS('Agenda 2026'!$Q$2:$Q$376,DATE(2026,12,13),'Agenda 2026'!$M$2:$M$376,1)</f>
        <v>0</v>
      </c>
    </row>
    <row r="411" spans="2:8" ht="15" hidden="1" customHeight="1" x14ac:dyDescent="0.35">
      <c r="B411" s="60">
        <f>COUNTIFS('Agenda 2026'!$Q$2:$Q$376,DATE(2026,12,14),'Agenda 2026'!$M$2:$M$376,1)</f>
        <v>0</v>
      </c>
      <c r="C411" s="60">
        <f>COUNTIFS('Agenda 2026'!$Q$2:$Q$376,DATE(2026,12,15),'Agenda 2026'!$M$2:$M$376,1)</f>
        <v>0</v>
      </c>
      <c r="D411" s="60">
        <f>COUNTIFS('Agenda 2026'!$Q$2:$Q$376,DATE(2026,12,16),'Agenda 2026'!$M$2:$M$376,1)</f>
        <v>0</v>
      </c>
      <c r="E411" s="60">
        <f>COUNTIFS('Agenda 2026'!$Q$2:$Q$376,DATE(2026,12,17),'Agenda 2026'!$M$2:$M$376,1)</f>
        <v>0</v>
      </c>
      <c r="F411" s="60">
        <f>COUNTIFS('Agenda 2026'!$Q$2:$Q$376,DATE(2026,12,18),'Agenda 2026'!$M$2:$M$376,1)</f>
        <v>0</v>
      </c>
      <c r="G411" s="60">
        <f>COUNTIFS('Agenda 2026'!$Q$2:$Q$376,DATE(2026,12,19),'Agenda 2026'!$M$2:$M$376,1)</f>
        <v>0</v>
      </c>
      <c r="H411" s="60">
        <f>COUNTIFS('Agenda 2026'!$Q$2:$Q$376,DATE(2026,12,20),'Agenda 2026'!$M$2:$M$376,1)</f>
        <v>0</v>
      </c>
    </row>
    <row r="412" spans="2:8" ht="15" hidden="1" customHeight="1" x14ac:dyDescent="0.35">
      <c r="B412" s="60">
        <f>COUNTIFS('Agenda 2026'!$Q$2:$Q$376,DATE(2026,12,21),'Agenda 2026'!$M$2:$M$376,1)</f>
        <v>0</v>
      </c>
      <c r="C412" s="60">
        <f>COUNTIFS('Agenda 2026'!$Q$2:$Q$376,DATE(2026,12,22),'Agenda 2026'!$M$2:$M$376,1)</f>
        <v>0</v>
      </c>
      <c r="D412" s="60">
        <f>COUNTIFS('Agenda 2026'!$Q$2:$Q$376,DATE(2026,12,23),'Agenda 2026'!$M$2:$M$376,1)</f>
        <v>0</v>
      </c>
      <c r="E412" s="60">
        <f>COUNTIFS('Agenda 2026'!$Q$2:$Q$376,DATE(2026,12,24),'Agenda 2026'!$M$2:$M$376,1)</f>
        <v>0</v>
      </c>
      <c r="F412" s="60">
        <f>COUNTIFS('Agenda 2026'!$Q$2:$Q$376,DATE(2026,12,25),'Agenda 2026'!$M$2:$M$376,1)</f>
        <v>0</v>
      </c>
      <c r="G412" s="60">
        <f>COUNTIFS('Agenda 2026'!$Q$2:$Q$376,DATE(2026,12,26),'Agenda 2026'!$M$2:$M$376,1)</f>
        <v>0</v>
      </c>
      <c r="H412" s="60">
        <f>COUNTIFS('Agenda 2026'!$Q$2:$Q$376,DATE(2026,12,27),'Agenda 2026'!$M$2:$M$376,1)</f>
        <v>0</v>
      </c>
    </row>
    <row r="413" spans="2:8" ht="15" hidden="1" customHeight="1" x14ac:dyDescent="0.35">
      <c r="B413" s="60">
        <f>COUNTIFS('Agenda 2026'!$Q$2:$Q$376,DATE(2026,12,28),'Agenda 2026'!$M$2:$M$376,1)</f>
        <v>0</v>
      </c>
      <c r="C413" s="60">
        <f>COUNTIFS('Agenda 2026'!$Q$2:$Q$376,DATE(2026,12,29),'Agenda 2026'!$M$2:$M$376,1)</f>
        <v>0</v>
      </c>
      <c r="D413" s="60">
        <f>COUNTIFS('Agenda 2026'!$Q$2:$Q$376,DATE(2026,12,30),'Agenda 2026'!$M$2:$M$376,1)</f>
        <v>0</v>
      </c>
      <c r="E413" s="60">
        <f>COUNTIFS('Agenda 2026'!$Q$2:$Q$376,DATE(2026,12,31),'Agenda 2026'!$M$2:$M$376,1)</f>
        <v>0</v>
      </c>
    </row>
    <row r="414" spans="2:8" ht="15" hidden="1" customHeight="1" x14ac:dyDescent="0.35"/>
    <row r="460" spans="2:8" ht="15" hidden="1" customHeight="1" x14ac:dyDescent="0.35">
      <c r="E460" s="61">
        <v>46023</v>
      </c>
      <c r="F460" s="61">
        <v>46024</v>
      </c>
      <c r="G460" s="61">
        <v>46025</v>
      </c>
      <c r="H460" s="61">
        <v>46026</v>
      </c>
    </row>
    <row r="461" spans="2:8" ht="15" hidden="1" customHeight="1" x14ac:dyDescent="0.35">
      <c r="B461" s="61">
        <v>46027</v>
      </c>
      <c r="C461" s="61">
        <v>46028</v>
      </c>
      <c r="D461" s="61">
        <v>46029</v>
      </c>
      <c r="E461" s="61">
        <v>46030</v>
      </c>
      <c r="F461" s="61">
        <v>46031</v>
      </c>
      <c r="G461" s="61">
        <v>46032</v>
      </c>
      <c r="H461" s="61">
        <v>46033</v>
      </c>
    </row>
    <row r="462" spans="2:8" ht="15" hidden="1" customHeight="1" x14ac:dyDescent="0.35">
      <c r="B462" s="61">
        <v>46034</v>
      </c>
      <c r="C462" s="61">
        <v>46035</v>
      </c>
      <c r="D462" s="61">
        <v>46036</v>
      </c>
      <c r="E462" s="61">
        <v>46037</v>
      </c>
      <c r="F462" s="61">
        <v>46038</v>
      </c>
      <c r="G462" s="61">
        <v>46039</v>
      </c>
      <c r="H462" s="61">
        <v>46040</v>
      </c>
    </row>
    <row r="463" spans="2:8" ht="15" hidden="1" customHeight="1" x14ac:dyDescent="0.35">
      <c r="B463" s="61">
        <v>46041</v>
      </c>
      <c r="C463" s="61">
        <v>46042</v>
      </c>
      <c r="D463" s="61">
        <v>46043</v>
      </c>
      <c r="E463" s="61">
        <v>46044</v>
      </c>
      <c r="F463" s="61">
        <v>46045</v>
      </c>
      <c r="G463" s="61">
        <v>46046</v>
      </c>
      <c r="H463" s="61">
        <v>46047</v>
      </c>
    </row>
    <row r="464" spans="2:8" ht="15" hidden="1" customHeight="1" x14ac:dyDescent="0.35">
      <c r="B464" s="61">
        <v>46048</v>
      </c>
      <c r="C464" s="61">
        <v>46049</v>
      </c>
      <c r="D464" s="61">
        <v>46050</v>
      </c>
      <c r="E464" s="61">
        <v>46051</v>
      </c>
      <c r="F464" s="61">
        <v>46052</v>
      </c>
      <c r="G464" s="61">
        <v>46053</v>
      </c>
    </row>
    <row r="465" spans="2:8" ht="15" hidden="1" customHeight="1" x14ac:dyDescent="0.35"/>
    <row r="466" spans="2:8" ht="15" hidden="1" customHeight="1" x14ac:dyDescent="0.35"/>
    <row r="467" spans="2:8" ht="15" hidden="1" customHeight="1" x14ac:dyDescent="0.35"/>
    <row r="468" spans="2:8" ht="15" hidden="1" customHeight="1" x14ac:dyDescent="0.35"/>
    <row r="469" spans="2:8" ht="15" hidden="1" customHeight="1" x14ac:dyDescent="0.35">
      <c r="H469" s="61">
        <v>46054</v>
      </c>
    </row>
    <row r="470" spans="2:8" ht="15" hidden="1" customHeight="1" x14ac:dyDescent="0.35">
      <c r="B470" s="61">
        <v>46055</v>
      </c>
      <c r="C470" s="61">
        <v>46056</v>
      </c>
      <c r="D470" s="61">
        <v>46057</v>
      </c>
      <c r="E470" s="61">
        <v>46058</v>
      </c>
      <c r="F470" s="61">
        <v>46059</v>
      </c>
      <c r="G470" s="61">
        <v>46060</v>
      </c>
      <c r="H470" s="61">
        <v>46061</v>
      </c>
    </row>
    <row r="471" spans="2:8" ht="15" hidden="1" customHeight="1" x14ac:dyDescent="0.35">
      <c r="B471" s="61">
        <v>46062</v>
      </c>
      <c r="C471" s="61">
        <v>46063</v>
      </c>
      <c r="D471" s="61">
        <v>46064</v>
      </c>
      <c r="E471" s="61">
        <v>46065</v>
      </c>
      <c r="F471" s="61">
        <v>46066</v>
      </c>
      <c r="G471" s="61">
        <v>46067</v>
      </c>
      <c r="H471" s="61">
        <v>46068</v>
      </c>
    </row>
    <row r="472" spans="2:8" ht="15" hidden="1" customHeight="1" x14ac:dyDescent="0.35">
      <c r="B472" s="61">
        <v>46069</v>
      </c>
      <c r="C472" s="61">
        <v>46070</v>
      </c>
      <c r="D472" s="61">
        <v>46071</v>
      </c>
      <c r="E472" s="61">
        <v>46072</v>
      </c>
      <c r="F472" s="61">
        <v>46073</v>
      </c>
      <c r="G472" s="61">
        <v>46074</v>
      </c>
      <c r="H472" s="61">
        <v>46075</v>
      </c>
    </row>
    <row r="473" spans="2:8" ht="15" hidden="1" customHeight="1" x14ac:dyDescent="0.35">
      <c r="B473" s="61">
        <v>46076</v>
      </c>
      <c r="C473" s="61">
        <v>46077</v>
      </c>
      <c r="D473" s="61">
        <v>46078</v>
      </c>
      <c r="E473" s="61">
        <v>46079</v>
      </c>
      <c r="F473" s="61">
        <v>46080</v>
      </c>
      <c r="G473" s="61">
        <v>46081</v>
      </c>
    </row>
    <row r="474" spans="2:8" ht="15" hidden="1" customHeight="1" x14ac:dyDescent="0.35"/>
    <row r="475" spans="2:8" ht="15" hidden="1" customHeight="1" x14ac:dyDescent="0.35"/>
    <row r="476" spans="2:8" ht="15" hidden="1" customHeight="1" x14ac:dyDescent="0.35"/>
    <row r="477" spans="2:8" ht="15" hidden="1" customHeight="1" x14ac:dyDescent="0.35"/>
    <row r="478" spans="2:8" ht="15" hidden="1" customHeight="1" x14ac:dyDescent="0.35">
      <c r="H478" s="61">
        <v>46082</v>
      </c>
    </row>
    <row r="479" spans="2:8" ht="15" hidden="1" customHeight="1" x14ac:dyDescent="0.35">
      <c r="B479" s="61">
        <v>46083</v>
      </c>
      <c r="C479" s="61">
        <v>46084</v>
      </c>
      <c r="D479" s="61">
        <v>46085</v>
      </c>
      <c r="E479" s="61">
        <v>46086</v>
      </c>
      <c r="F479" s="61">
        <v>46087</v>
      </c>
      <c r="G479" s="61">
        <v>46088</v>
      </c>
      <c r="H479" s="61">
        <v>46089</v>
      </c>
    </row>
    <row r="480" spans="2:8" ht="15" hidden="1" customHeight="1" x14ac:dyDescent="0.35">
      <c r="B480" s="61">
        <v>46090</v>
      </c>
      <c r="C480" s="61">
        <v>46091</v>
      </c>
      <c r="D480" s="61">
        <v>46092</v>
      </c>
      <c r="E480" s="61">
        <v>46093</v>
      </c>
      <c r="F480" s="61">
        <v>46094</v>
      </c>
      <c r="G480" s="61">
        <v>46095</v>
      </c>
      <c r="H480" s="61">
        <v>46096</v>
      </c>
    </row>
    <row r="481" spans="2:8" ht="15" hidden="1" customHeight="1" x14ac:dyDescent="0.35">
      <c r="B481" s="61">
        <v>46097</v>
      </c>
      <c r="C481" s="61">
        <v>46098</v>
      </c>
      <c r="D481" s="61">
        <v>46099</v>
      </c>
      <c r="E481" s="61">
        <v>46100</v>
      </c>
      <c r="F481" s="61">
        <v>46101</v>
      </c>
      <c r="G481" s="61">
        <v>46102</v>
      </c>
      <c r="H481" s="61">
        <v>46103</v>
      </c>
    </row>
    <row r="482" spans="2:8" ht="15" hidden="1" customHeight="1" x14ac:dyDescent="0.35">
      <c r="B482" s="61">
        <v>46104</v>
      </c>
      <c r="C482" s="61">
        <v>46105</v>
      </c>
      <c r="D482" s="61">
        <v>46106</v>
      </c>
      <c r="E482" s="61">
        <v>46107</v>
      </c>
      <c r="F482" s="61">
        <v>46108</v>
      </c>
      <c r="G482" s="61">
        <v>46109</v>
      </c>
      <c r="H482" s="61">
        <v>46110</v>
      </c>
    </row>
    <row r="483" spans="2:8" ht="15" hidden="1" customHeight="1" x14ac:dyDescent="0.35">
      <c r="B483" s="61">
        <v>46111</v>
      </c>
      <c r="C483" s="61">
        <v>46112</v>
      </c>
    </row>
    <row r="484" spans="2:8" ht="15" hidden="1" customHeight="1" x14ac:dyDescent="0.35"/>
    <row r="485" spans="2:8" ht="15" hidden="1" customHeight="1" x14ac:dyDescent="0.35"/>
    <row r="486" spans="2:8" ht="15" hidden="1" customHeight="1" x14ac:dyDescent="0.35"/>
    <row r="487" spans="2:8" ht="15" hidden="1" customHeight="1" x14ac:dyDescent="0.35"/>
    <row r="488" spans="2:8" ht="15" hidden="1" customHeight="1" x14ac:dyDescent="0.35">
      <c r="D488" s="61">
        <v>46113</v>
      </c>
      <c r="E488" s="61">
        <v>46114</v>
      </c>
      <c r="F488" s="61">
        <v>46115</v>
      </c>
      <c r="G488" s="61">
        <v>46116</v>
      </c>
      <c r="H488" s="61">
        <v>46117</v>
      </c>
    </row>
    <row r="489" spans="2:8" ht="15" hidden="1" customHeight="1" x14ac:dyDescent="0.35">
      <c r="B489" s="61">
        <v>46118</v>
      </c>
      <c r="C489" s="61">
        <v>46119</v>
      </c>
      <c r="D489" s="61">
        <v>46120</v>
      </c>
      <c r="E489" s="61">
        <v>46121</v>
      </c>
      <c r="F489" s="61">
        <v>46122</v>
      </c>
      <c r="G489" s="61">
        <v>46123</v>
      </c>
      <c r="H489" s="61">
        <v>46124</v>
      </c>
    </row>
    <row r="490" spans="2:8" ht="15" hidden="1" customHeight="1" x14ac:dyDescent="0.35">
      <c r="B490" s="61">
        <v>46125</v>
      </c>
      <c r="C490" s="61">
        <v>46126</v>
      </c>
      <c r="D490" s="61">
        <v>46127</v>
      </c>
      <c r="E490" s="61">
        <v>46128</v>
      </c>
      <c r="F490" s="61">
        <v>46129</v>
      </c>
      <c r="G490" s="61">
        <v>46130</v>
      </c>
      <c r="H490" s="61">
        <v>46131</v>
      </c>
    </row>
    <row r="491" spans="2:8" ht="15" hidden="1" customHeight="1" x14ac:dyDescent="0.35">
      <c r="B491" s="61">
        <v>46132</v>
      </c>
      <c r="C491" s="61">
        <v>46133</v>
      </c>
      <c r="D491" s="61">
        <v>46134</v>
      </c>
      <c r="E491" s="61">
        <v>46135</v>
      </c>
      <c r="F491" s="61">
        <v>46136</v>
      </c>
      <c r="G491" s="61">
        <v>46137</v>
      </c>
      <c r="H491" s="61">
        <v>46138</v>
      </c>
    </row>
    <row r="492" spans="2:8" ht="15" hidden="1" customHeight="1" x14ac:dyDescent="0.35">
      <c r="B492" s="61">
        <v>46139</v>
      </c>
      <c r="C492" s="61">
        <v>46140</v>
      </c>
      <c r="D492" s="61">
        <v>46141</v>
      </c>
      <c r="E492" s="61">
        <v>46142</v>
      </c>
    </row>
    <row r="493" spans="2:8" ht="15" hidden="1" customHeight="1" x14ac:dyDescent="0.35"/>
    <row r="494" spans="2:8" ht="15" hidden="1" customHeight="1" x14ac:dyDescent="0.35"/>
    <row r="495" spans="2:8" ht="15" hidden="1" customHeight="1" x14ac:dyDescent="0.35"/>
    <row r="496" spans="2:8" ht="15" hidden="1" customHeight="1" x14ac:dyDescent="0.35"/>
    <row r="497" spans="2:8" ht="15" hidden="1" customHeight="1" x14ac:dyDescent="0.35">
      <c r="F497" s="61">
        <v>46143</v>
      </c>
      <c r="G497" s="61">
        <v>46144</v>
      </c>
      <c r="H497" s="61">
        <v>46145</v>
      </c>
    </row>
    <row r="498" spans="2:8" ht="15" hidden="1" customHeight="1" x14ac:dyDescent="0.35">
      <c r="B498" s="61">
        <v>46146</v>
      </c>
      <c r="C498" s="61">
        <v>46147</v>
      </c>
      <c r="D498" s="61">
        <v>46148</v>
      </c>
      <c r="E498" s="61">
        <v>46149</v>
      </c>
      <c r="F498" s="61">
        <v>46150</v>
      </c>
      <c r="G498" s="61">
        <v>46151</v>
      </c>
      <c r="H498" s="61">
        <v>46152</v>
      </c>
    </row>
    <row r="499" spans="2:8" ht="15" hidden="1" customHeight="1" x14ac:dyDescent="0.35">
      <c r="B499" s="61">
        <v>46153</v>
      </c>
      <c r="C499" s="61">
        <v>46154</v>
      </c>
      <c r="D499" s="61">
        <v>46155</v>
      </c>
      <c r="E499" s="61">
        <v>46156</v>
      </c>
      <c r="F499" s="61">
        <v>46157</v>
      </c>
      <c r="G499" s="61">
        <v>46158</v>
      </c>
      <c r="H499" s="61">
        <v>46159</v>
      </c>
    </row>
    <row r="500" spans="2:8" ht="15" hidden="1" customHeight="1" x14ac:dyDescent="0.35">
      <c r="B500" s="61">
        <v>46160</v>
      </c>
      <c r="C500" s="61">
        <v>46161</v>
      </c>
      <c r="D500" s="61">
        <v>46162</v>
      </c>
      <c r="E500" s="61">
        <v>46163</v>
      </c>
      <c r="F500" s="61">
        <v>46164</v>
      </c>
      <c r="G500" s="61">
        <v>46165</v>
      </c>
      <c r="H500" s="61">
        <v>46166</v>
      </c>
    </row>
    <row r="501" spans="2:8" ht="15" hidden="1" customHeight="1" x14ac:dyDescent="0.35">
      <c r="B501" s="61">
        <v>46167</v>
      </c>
      <c r="C501" s="61">
        <v>46168</v>
      </c>
      <c r="D501" s="61">
        <v>46169</v>
      </c>
      <c r="E501" s="61">
        <v>46170</v>
      </c>
      <c r="F501" s="61">
        <v>46171</v>
      </c>
      <c r="G501" s="61">
        <v>46172</v>
      </c>
      <c r="H501" s="61">
        <v>46173</v>
      </c>
    </row>
    <row r="502" spans="2:8" ht="15" hidden="1" customHeight="1" x14ac:dyDescent="0.35"/>
    <row r="503" spans="2:8" ht="15" hidden="1" customHeight="1" x14ac:dyDescent="0.35"/>
    <row r="504" spans="2:8" ht="15" hidden="1" customHeight="1" x14ac:dyDescent="0.35"/>
    <row r="505" spans="2:8" ht="15" hidden="1" customHeight="1" x14ac:dyDescent="0.35"/>
    <row r="506" spans="2:8" ht="15" hidden="1" customHeight="1" x14ac:dyDescent="0.35">
      <c r="B506" s="61">
        <v>46174</v>
      </c>
      <c r="C506" s="61">
        <v>46175</v>
      </c>
      <c r="D506" s="61">
        <v>46176</v>
      </c>
      <c r="E506" s="61">
        <v>46177</v>
      </c>
      <c r="F506" s="61">
        <v>46178</v>
      </c>
      <c r="G506" s="61">
        <v>46179</v>
      </c>
      <c r="H506" s="61">
        <v>46180</v>
      </c>
    </row>
    <row r="507" spans="2:8" ht="15" hidden="1" customHeight="1" x14ac:dyDescent="0.35">
      <c r="B507" s="61">
        <v>46181</v>
      </c>
      <c r="C507" s="61">
        <v>46182</v>
      </c>
      <c r="D507" s="61">
        <v>46183</v>
      </c>
      <c r="E507" s="61">
        <v>46184</v>
      </c>
      <c r="F507" s="61">
        <v>46185</v>
      </c>
      <c r="G507" s="61">
        <v>46186</v>
      </c>
      <c r="H507" s="61">
        <v>46187</v>
      </c>
    </row>
    <row r="508" spans="2:8" ht="15" hidden="1" customHeight="1" x14ac:dyDescent="0.35">
      <c r="B508" s="61">
        <v>46188</v>
      </c>
      <c r="C508" s="61">
        <v>46189</v>
      </c>
      <c r="D508" s="61">
        <v>46190</v>
      </c>
      <c r="E508" s="61">
        <v>46191</v>
      </c>
      <c r="F508" s="61">
        <v>46192</v>
      </c>
      <c r="G508" s="61">
        <v>46193</v>
      </c>
      <c r="H508" s="61">
        <v>46194</v>
      </c>
    </row>
    <row r="509" spans="2:8" ht="15" hidden="1" customHeight="1" x14ac:dyDescent="0.35">
      <c r="B509" s="61">
        <v>46195</v>
      </c>
      <c r="C509" s="61">
        <v>46196</v>
      </c>
      <c r="D509" s="61">
        <v>46197</v>
      </c>
      <c r="E509" s="61">
        <v>46198</v>
      </c>
      <c r="F509" s="61">
        <v>46199</v>
      </c>
      <c r="G509" s="61">
        <v>46200</v>
      </c>
      <c r="H509" s="61">
        <v>46201</v>
      </c>
    </row>
    <row r="510" spans="2:8" ht="15" hidden="1" customHeight="1" x14ac:dyDescent="0.35">
      <c r="B510" s="61">
        <v>46202</v>
      </c>
      <c r="C510" s="61">
        <v>46203</v>
      </c>
    </row>
    <row r="511" spans="2:8" ht="15" hidden="1" customHeight="1" x14ac:dyDescent="0.35"/>
    <row r="512" spans="2:8" ht="15" hidden="1" customHeight="1" x14ac:dyDescent="0.35"/>
    <row r="513" spans="2:8" ht="15" hidden="1" customHeight="1" x14ac:dyDescent="0.35"/>
    <row r="514" spans="2:8" ht="15" hidden="1" customHeight="1" x14ac:dyDescent="0.35">
      <c r="D514" s="61">
        <v>46204</v>
      </c>
      <c r="E514" s="61">
        <v>46205</v>
      </c>
      <c r="F514" s="61">
        <v>46206</v>
      </c>
      <c r="G514" s="61">
        <v>46207</v>
      </c>
      <c r="H514" s="61">
        <v>46208</v>
      </c>
    </row>
    <row r="515" spans="2:8" ht="15" hidden="1" customHeight="1" x14ac:dyDescent="0.35">
      <c r="B515" s="61">
        <v>46209</v>
      </c>
      <c r="C515" s="61">
        <v>46210</v>
      </c>
      <c r="D515" s="61">
        <v>46211</v>
      </c>
      <c r="E515" s="61">
        <v>46212</v>
      </c>
      <c r="F515" s="61">
        <v>46213</v>
      </c>
      <c r="G515" s="61">
        <v>46214</v>
      </c>
      <c r="H515" s="61">
        <v>46215</v>
      </c>
    </row>
    <row r="516" spans="2:8" ht="15" hidden="1" customHeight="1" x14ac:dyDescent="0.35">
      <c r="B516" s="61">
        <v>46216</v>
      </c>
      <c r="C516" s="61">
        <v>46217</v>
      </c>
      <c r="D516" s="61">
        <v>46218</v>
      </c>
      <c r="E516" s="61">
        <v>46219</v>
      </c>
      <c r="F516" s="61">
        <v>46220</v>
      </c>
      <c r="G516" s="61">
        <v>46221</v>
      </c>
      <c r="H516" s="61">
        <v>46222</v>
      </c>
    </row>
    <row r="517" spans="2:8" ht="15" hidden="1" customHeight="1" x14ac:dyDescent="0.35">
      <c r="B517" s="61">
        <v>46223</v>
      </c>
      <c r="C517" s="61">
        <v>46224</v>
      </c>
      <c r="D517" s="61">
        <v>46225</v>
      </c>
      <c r="E517" s="61">
        <v>46226</v>
      </c>
      <c r="F517" s="61">
        <v>46227</v>
      </c>
      <c r="G517" s="61">
        <v>46228</v>
      </c>
      <c r="H517" s="61">
        <v>46229</v>
      </c>
    </row>
    <row r="518" spans="2:8" ht="15" hidden="1" customHeight="1" x14ac:dyDescent="0.35">
      <c r="B518" s="61">
        <v>46230</v>
      </c>
      <c r="C518" s="61">
        <v>46231</v>
      </c>
      <c r="D518" s="61">
        <v>46232</v>
      </c>
      <c r="E518" s="61">
        <v>46233</v>
      </c>
      <c r="F518" s="61">
        <v>46234</v>
      </c>
    </row>
    <row r="519" spans="2:8" ht="15" hidden="1" customHeight="1" x14ac:dyDescent="0.35"/>
    <row r="520" spans="2:8" ht="15" hidden="1" customHeight="1" x14ac:dyDescent="0.35"/>
    <row r="521" spans="2:8" ht="15" hidden="1" customHeight="1" x14ac:dyDescent="0.35"/>
    <row r="522" spans="2:8" ht="15" hidden="1" customHeight="1" x14ac:dyDescent="0.35"/>
    <row r="523" spans="2:8" ht="15" hidden="1" customHeight="1" x14ac:dyDescent="0.35">
      <c r="G523" s="61">
        <v>46235</v>
      </c>
      <c r="H523" s="61">
        <v>46236</v>
      </c>
    </row>
    <row r="524" spans="2:8" ht="15" hidden="1" customHeight="1" x14ac:dyDescent="0.35">
      <c r="B524" s="61">
        <v>46237</v>
      </c>
      <c r="C524" s="61">
        <v>46238</v>
      </c>
      <c r="D524" s="61">
        <v>46239</v>
      </c>
      <c r="E524" s="61">
        <v>46240</v>
      </c>
      <c r="F524" s="61">
        <v>46241</v>
      </c>
      <c r="G524" s="61">
        <v>46242</v>
      </c>
      <c r="H524" s="61">
        <v>46243</v>
      </c>
    </row>
    <row r="525" spans="2:8" ht="15" hidden="1" customHeight="1" x14ac:dyDescent="0.35">
      <c r="B525" s="61">
        <v>46244</v>
      </c>
      <c r="C525" s="61">
        <v>46245</v>
      </c>
      <c r="D525" s="61">
        <v>46246</v>
      </c>
      <c r="E525" s="61">
        <v>46247</v>
      </c>
      <c r="F525" s="61">
        <v>46248</v>
      </c>
      <c r="G525" s="61">
        <v>46249</v>
      </c>
      <c r="H525" s="61">
        <v>46250</v>
      </c>
    </row>
    <row r="526" spans="2:8" ht="15" hidden="1" customHeight="1" x14ac:dyDescent="0.35">
      <c r="B526" s="61">
        <v>46251</v>
      </c>
      <c r="C526" s="61">
        <v>46252</v>
      </c>
      <c r="D526" s="61">
        <v>46253</v>
      </c>
      <c r="E526" s="61">
        <v>46254</v>
      </c>
      <c r="F526" s="61">
        <v>46255</v>
      </c>
      <c r="G526" s="61">
        <v>46256</v>
      </c>
      <c r="H526" s="61">
        <v>46257</v>
      </c>
    </row>
    <row r="527" spans="2:8" ht="15" hidden="1" customHeight="1" x14ac:dyDescent="0.35">
      <c r="B527" s="61">
        <v>46258</v>
      </c>
      <c r="C527" s="61">
        <v>46259</v>
      </c>
      <c r="D527" s="61">
        <v>46260</v>
      </c>
      <c r="E527" s="61">
        <v>46261</v>
      </c>
      <c r="F527" s="61">
        <v>46262</v>
      </c>
      <c r="G527" s="61">
        <v>46263</v>
      </c>
      <c r="H527" s="61">
        <v>46264</v>
      </c>
    </row>
    <row r="528" spans="2:8" ht="15" hidden="1" customHeight="1" x14ac:dyDescent="0.35">
      <c r="B528" s="61">
        <v>46265</v>
      </c>
    </row>
    <row r="529" spans="2:8" ht="15" hidden="1" customHeight="1" x14ac:dyDescent="0.35"/>
    <row r="530" spans="2:8" ht="15" hidden="1" customHeight="1" x14ac:dyDescent="0.35"/>
    <row r="531" spans="2:8" ht="15" hidden="1" customHeight="1" x14ac:dyDescent="0.35"/>
    <row r="532" spans="2:8" ht="15" hidden="1" customHeight="1" x14ac:dyDescent="0.35">
      <c r="C532" s="61">
        <v>46266</v>
      </c>
      <c r="D532" s="61">
        <v>46267</v>
      </c>
      <c r="E532" s="61">
        <v>46268</v>
      </c>
      <c r="F532" s="61">
        <v>46269</v>
      </c>
      <c r="G532" s="61">
        <v>46270</v>
      </c>
      <c r="H532" s="61">
        <v>46271</v>
      </c>
    </row>
    <row r="533" spans="2:8" ht="15" hidden="1" customHeight="1" x14ac:dyDescent="0.35">
      <c r="B533" s="61">
        <v>46272</v>
      </c>
      <c r="C533" s="61">
        <v>46273</v>
      </c>
      <c r="D533" s="61">
        <v>46274</v>
      </c>
      <c r="E533" s="61">
        <v>46275</v>
      </c>
      <c r="F533" s="61">
        <v>46276</v>
      </c>
      <c r="G533" s="61">
        <v>46277</v>
      </c>
      <c r="H533" s="61">
        <v>46278</v>
      </c>
    </row>
    <row r="534" spans="2:8" ht="15" hidden="1" customHeight="1" x14ac:dyDescent="0.35">
      <c r="B534" s="61">
        <v>46279</v>
      </c>
      <c r="C534" s="61">
        <v>46280</v>
      </c>
      <c r="D534" s="61">
        <v>46281</v>
      </c>
      <c r="E534" s="61">
        <v>46282</v>
      </c>
      <c r="F534" s="61">
        <v>46283</v>
      </c>
      <c r="G534" s="61">
        <v>46284</v>
      </c>
      <c r="H534" s="61">
        <v>46285</v>
      </c>
    </row>
    <row r="535" spans="2:8" ht="15" hidden="1" customHeight="1" x14ac:dyDescent="0.35">
      <c r="B535" s="61">
        <v>46286</v>
      </c>
      <c r="C535" s="61">
        <v>46287</v>
      </c>
      <c r="D535" s="61">
        <v>46288</v>
      </c>
      <c r="E535" s="61">
        <v>46289</v>
      </c>
      <c r="F535" s="61">
        <v>46290</v>
      </c>
      <c r="G535" s="61">
        <v>46291</v>
      </c>
      <c r="H535" s="61">
        <v>46292</v>
      </c>
    </row>
    <row r="536" spans="2:8" ht="15" hidden="1" customHeight="1" x14ac:dyDescent="0.35">
      <c r="B536" s="61">
        <v>46293</v>
      </c>
      <c r="C536" s="61">
        <v>46294</v>
      </c>
      <c r="D536" s="61">
        <v>46295</v>
      </c>
    </row>
    <row r="537" spans="2:8" ht="15" hidden="1" customHeight="1" x14ac:dyDescent="0.35"/>
    <row r="538" spans="2:8" ht="15" hidden="1" customHeight="1" x14ac:dyDescent="0.35"/>
    <row r="539" spans="2:8" ht="15" hidden="1" customHeight="1" x14ac:dyDescent="0.35"/>
    <row r="540" spans="2:8" ht="15" hidden="1" customHeight="1" x14ac:dyDescent="0.35"/>
    <row r="541" spans="2:8" ht="15" hidden="1" customHeight="1" x14ac:dyDescent="0.35">
      <c r="E541" s="61">
        <v>46296</v>
      </c>
      <c r="F541" s="61">
        <v>46297</v>
      </c>
      <c r="G541" s="61">
        <v>46298</v>
      </c>
      <c r="H541" s="61">
        <v>46299</v>
      </c>
    </row>
    <row r="542" spans="2:8" ht="15" hidden="1" customHeight="1" x14ac:dyDescent="0.35">
      <c r="B542" s="61">
        <v>46300</v>
      </c>
      <c r="C542" s="61">
        <v>46301</v>
      </c>
      <c r="D542" s="61">
        <v>46302</v>
      </c>
      <c r="E542" s="61">
        <v>46303</v>
      </c>
      <c r="F542" s="61">
        <v>46304</v>
      </c>
      <c r="G542" s="61">
        <v>46305</v>
      </c>
      <c r="H542" s="61">
        <v>46306</v>
      </c>
    </row>
    <row r="543" spans="2:8" ht="15" hidden="1" customHeight="1" x14ac:dyDescent="0.35">
      <c r="B543" s="61">
        <v>46307</v>
      </c>
      <c r="C543" s="61">
        <v>46308</v>
      </c>
      <c r="D543" s="61">
        <v>46309</v>
      </c>
      <c r="E543" s="61">
        <v>46310</v>
      </c>
      <c r="F543" s="61">
        <v>46311</v>
      </c>
      <c r="G543" s="61">
        <v>46312</v>
      </c>
      <c r="H543" s="61">
        <v>46313</v>
      </c>
    </row>
    <row r="544" spans="2:8" ht="15" hidden="1" customHeight="1" x14ac:dyDescent="0.35">
      <c r="B544" s="61">
        <v>46314</v>
      </c>
      <c r="C544" s="61">
        <v>46315</v>
      </c>
      <c r="D544" s="61">
        <v>46316</v>
      </c>
      <c r="E544" s="61">
        <v>46317</v>
      </c>
      <c r="F544" s="61">
        <v>46318</v>
      </c>
      <c r="G544" s="61">
        <v>46319</v>
      </c>
      <c r="H544" s="61">
        <v>46320</v>
      </c>
    </row>
    <row r="545" spans="2:8" ht="15" hidden="1" customHeight="1" x14ac:dyDescent="0.35">
      <c r="B545" s="61">
        <v>46321</v>
      </c>
      <c r="C545" s="61">
        <v>46322</v>
      </c>
      <c r="D545" s="61">
        <v>46323</v>
      </c>
      <c r="E545" s="61">
        <v>46324</v>
      </c>
      <c r="F545" s="61">
        <v>46325</v>
      </c>
      <c r="G545" s="61">
        <v>46326</v>
      </c>
    </row>
    <row r="546" spans="2:8" ht="15" hidden="1" customHeight="1" x14ac:dyDescent="0.35"/>
    <row r="547" spans="2:8" ht="15" hidden="1" customHeight="1" x14ac:dyDescent="0.35"/>
    <row r="548" spans="2:8" ht="15" hidden="1" customHeight="1" x14ac:dyDescent="0.35"/>
    <row r="549" spans="2:8" ht="15" hidden="1" customHeight="1" x14ac:dyDescent="0.35"/>
    <row r="550" spans="2:8" ht="15" hidden="1" customHeight="1" x14ac:dyDescent="0.35">
      <c r="H550" s="61">
        <v>46327</v>
      </c>
    </row>
    <row r="551" spans="2:8" ht="15" hidden="1" customHeight="1" x14ac:dyDescent="0.35">
      <c r="B551" s="61">
        <v>46328</v>
      </c>
      <c r="C551" s="61">
        <v>46329</v>
      </c>
      <c r="D551" s="61">
        <v>46330</v>
      </c>
      <c r="E551" s="61">
        <v>46331</v>
      </c>
      <c r="F551" s="61">
        <v>46332</v>
      </c>
      <c r="G551" s="61">
        <v>46333</v>
      </c>
      <c r="H551" s="61">
        <v>46334</v>
      </c>
    </row>
    <row r="552" spans="2:8" ht="15" hidden="1" customHeight="1" x14ac:dyDescent="0.35">
      <c r="B552" s="61">
        <v>46335</v>
      </c>
      <c r="C552" s="61">
        <v>46336</v>
      </c>
      <c r="D552" s="61">
        <v>46337</v>
      </c>
      <c r="E552" s="61">
        <v>46338</v>
      </c>
      <c r="F552" s="61">
        <v>46339</v>
      </c>
      <c r="G552" s="61">
        <v>46340</v>
      </c>
      <c r="H552" s="61">
        <v>46341</v>
      </c>
    </row>
    <row r="553" spans="2:8" ht="15" hidden="1" customHeight="1" x14ac:dyDescent="0.35">
      <c r="B553" s="61">
        <v>46342</v>
      </c>
      <c r="C553" s="61">
        <v>46343</v>
      </c>
      <c r="D553" s="61">
        <v>46344</v>
      </c>
      <c r="E553" s="61">
        <v>46345</v>
      </c>
      <c r="F553" s="61">
        <v>46346</v>
      </c>
      <c r="G553" s="61">
        <v>46347</v>
      </c>
      <c r="H553" s="61">
        <v>46348</v>
      </c>
    </row>
    <row r="554" spans="2:8" ht="15" hidden="1" customHeight="1" x14ac:dyDescent="0.35">
      <c r="B554" s="61">
        <v>46349</v>
      </c>
      <c r="C554" s="61">
        <v>46350</v>
      </c>
      <c r="D554" s="61">
        <v>46351</v>
      </c>
      <c r="E554" s="61">
        <v>46352</v>
      </c>
      <c r="F554" s="61">
        <v>46353</v>
      </c>
      <c r="G554" s="61">
        <v>46354</v>
      </c>
      <c r="H554" s="61">
        <v>46355</v>
      </c>
    </row>
    <row r="555" spans="2:8" ht="15" hidden="1" customHeight="1" x14ac:dyDescent="0.35">
      <c r="B555" s="61">
        <v>46356</v>
      </c>
    </row>
    <row r="556" spans="2:8" ht="15" hidden="1" customHeight="1" x14ac:dyDescent="0.35"/>
    <row r="557" spans="2:8" ht="15" hidden="1" customHeight="1" x14ac:dyDescent="0.35"/>
    <row r="558" spans="2:8" ht="15" hidden="1" customHeight="1" x14ac:dyDescent="0.35"/>
    <row r="559" spans="2:8" ht="15" hidden="1" customHeight="1" x14ac:dyDescent="0.35">
      <c r="C559" s="61">
        <v>46357</v>
      </c>
      <c r="D559" s="61">
        <v>46358</v>
      </c>
      <c r="E559" s="61">
        <v>46359</v>
      </c>
      <c r="F559" s="61">
        <v>46360</v>
      </c>
      <c r="G559" s="61">
        <v>46361</v>
      </c>
      <c r="H559" s="61">
        <v>46362</v>
      </c>
    </row>
    <row r="560" spans="2:8" ht="15" hidden="1" customHeight="1" x14ac:dyDescent="0.35">
      <c r="B560" s="61">
        <v>46363</v>
      </c>
      <c r="C560" s="61">
        <v>46364</v>
      </c>
      <c r="D560" s="61">
        <v>46365</v>
      </c>
      <c r="E560" s="61">
        <v>46366</v>
      </c>
      <c r="F560" s="61">
        <v>46367</v>
      </c>
      <c r="G560" s="61">
        <v>46368</v>
      </c>
      <c r="H560" s="61">
        <v>46369</v>
      </c>
    </row>
    <row r="561" spans="2:8" ht="15" hidden="1" customHeight="1" x14ac:dyDescent="0.35">
      <c r="B561" s="61">
        <v>46370</v>
      </c>
      <c r="C561" s="61">
        <v>46371</v>
      </c>
      <c r="D561" s="61">
        <v>46372</v>
      </c>
      <c r="E561" s="61">
        <v>46373</v>
      </c>
      <c r="F561" s="61">
        <v>46374</v>
      </c>
      <c r="G561" s="61">
        <v>46375</v>
      </c>
      <c r="H561" s="61">
        <v>46376</v>
      </c>
    </row>
    <row r="562" spans="2:8" ht="15" hidden="1" customHeight="1" x14ac:dyDescent="0.35">
      <c r="B562" s="61">
        <v>46377</v>
      </c>
      <c r="C562" s="61">
        <v>46378</v>
      </c>
      <c r="D562" s="61">
        <v>46379</v>
      </c>
      <c r="E562" s="61">
        <v>46380</v>
      </c>
      <c r="F562" s="61">
        <v>46381</v>
      </c>
      <c r="G562" s="61">
        <v>46382</v>
      </c>
      <c r="H562" s="61">
        <v>46383</v>
      </c>
    </row>
    <row r="563" spans="2:8" ht="15" hidden="1" customHeight="1" x14ac:dyDescent="0.35">
      <c r="B563" s="61">
        <v>46384</v>
      </c>
      <c r="C563" s="61">
        <v>46385</v>
      </c>
      <c r="D563" s="61">
        <v>46386</v>
      </c>
      <c r="E563" s="61">
        <v>46387</v>
      </c>
    </row>
    <row r="564" spans="2:8" ht="15" hidden="1" customHeight="1" x14ac:dyDescent="0.35"/>
  </sheetData>
  <sheetProtection algorithmName="SHA-512" hashValue="X6cWl2z86iy0fCt5Uf+UnaRY1YzQeEc01Jzvn56uVoq0C0qGs3xhbua+NS6p0tshSF4udlobRI1jfar22ctAIg==" saltValue="vsfnFnxAkB8CdNUPMPLYbw==" spinCount="100000" sheet="1" objects="1" scenarios="1" autoFilter="0"/>
  <mergeCells count="14">
    <mergeCell ref="B80:H80"/>
    <mergeCell ref="B89:H89"/>
    <mergeCell ref="B98:H98"/>
    <mergeCell ref="B107:H107"/>
    <mergeCell ref="B36:H36"/>
    <mergeCell ref="B45:H45"/>
    <mergeCell ref="B54:H54"/>
    <mergeCell ref="B62:H62"/>
    <mergeCell ref="B71:H71"/>
    <mergeCell ref="A3:I4"/>
    <mergeCell ref="G6:I6"/>
    <mergeCell ref="B8:H8"/>
    <mergeCell ref="B17:H17"/>
    <mergeCell ref="B26:H26"/>
  </mergeCells>
  <conditionalFormatting sqref="B10:H15">
    <cfRule type="expression" dxfId="38" priority="2">
      <formula>AND(B310&gt;0,B460&lt;TODAY())</formula>
    </cfRule>
    <cfRule type="expression" dxfId="37" priority="3">
      <formula>AND(B310&gt;0,B460&gt;=TODAY(),B460-TODAY()&lt;=7)</formula>
    </cfRule>
    <cfRule type="expression" dxfId="36" priority="4">
      <formula>AND(B310&gt;0,B460-TODAY()&gt;7)</formula>
    </cfRule>
  </conditionalFormatting>
  <conditionalFormatting sqref="B19:H24">
    <cfRule type="expression" dxfId="35" priority="5">
      <formula>AND(B319&gt;0,B469&lt;TODAY())</formula>
    </cfRule>
    <cfRule type="expression" dxfId="34" priority="6">
      <formula>AND(B319&gt;0,B469&gt;=TODAY(),B469-TODAY()&lt;=7)</formula>
    </cfRule>
    <cfRule type="expression" dxfId="33" priority="7">
      <formula>AND(B319&gt;0,B469-TODAY()&gt;7)</formula>
    </cfRule>
  </conditionalFormatting>
  <conditionalFormatting sqref="B28:H33">
    <cfRule type="expression" dxfId="32" priority="8">
      <formula>AND(B328&gt;0,B478&lt;TODAY())</formula>
    </cfRule>
    <cfRule type="expression" dxfId="31" priority="9">
      <formula>AND(B328&gt;0,B478&gt;=TODAY(),B478-TODAY()&lt;=7)</formula>
    </cfRule>
    <cfRule type="expression" dxfId="30" priority="10">
      <formula>AND(B328&gt;0,B478-TODAY()&gt;7)</formula>
    </cfRule>
  </conditionalFormatting>
  <conditionalFormatting sqref="B38:H43">
    <cfRule type="expression" dxfId="29" priority="11">
      <formula>AND(B338&gt;0,B488&lt;TODAY())</formula>
    </cfRule>
    <cfRule type="expression" dxfId="28" priority="12">
      <formula>AND(B338&gt;0,B488&gt;=TODAY(),B488-TODAY()&lt;=7)</formula>
    </cfRule>
    <cfRule type="expression" dxfId="27" priority="13">
      <formula>AND(B338&gt;0,B488-TODAY()&gt;7)</formula>
    </cfRule>
  </conditionalFormatting>
  <conditionalFormatting sqref="B47:H52">
    <cfRule type="expression" dxfId="26" priority="14">
      <formula>AND(B347&gt;0,B497&lt;TODAY())</formula>
    </cfRule>
    <cfRule type="expression" dxfId="25" priority="15">
      <formula>AND(B347&gt;0,B497&gt;=TODAY(),B497-TODAY()&lt;=7)</formula>
    </cfRule>
    <cfRule type="expression" dxfId="24" priority="16">
      <formula>AND(B347&gt;0,B497-TODAY()&gt;7)</formula>
    </cfRule>
  </conditionalFormatting>
  <conditionalFormatting sqref="B56:H60">
    <cfRule type="expression" dxfId="23" priority="17">
      <formula>AND(B356&gt;0,B506&lt;TODAY())</formula>
    </cfRule>
    <cfRule type="expression" dxfId="22" priority="18">
      <formula>AND(B356&gt;0,B506&gt;=TODAY(),B506-TODAY()&lt;=7)</formula>
    </cfRule>
    <cfRule type="expression" dxfId="21" priority="19">
      <formula>AND(B356&gt;0,B506-TODAY()&gt;7)</formula>
    </cfRule>
  </conditionalFormatting>
  <conditionalFormatting sqref="B64:H69">
    <cfRule type="expression" dxfId="20" priority="20">
      <formula>AND(B364&gt;0,B514&lt;TODAY())</formula>
    </cfRule>
    <cfRule type="expression" dxfId="19" priority="21">
      <formula>AND(B364&gt;0,B514&gt;=TODAY(),B514-TODAY()&lt;=7)</formula>
    </cfRule>
    <cfRule type="expression" dxfId="18" priority="22">
      <formula>AND(B364&gt;0,B514-TODAY()&gt;7)</formula>
    </cfRule>
  </conditionalFormatting>
  <conditionalFormatting sqref="B73:H78">
    <cfRule type="expression" dxfId="17" priority="23">
      <formula>AND(B373&gt;0,B523&lt;TODAY())</formula>
    </cfRule>
    <cfRule type="expression" dxfId="16" priority="24">
      <formula>AND(B373&gt;0,B523&gt;=TODAY(),B523-TODAY()&lt;=7)</formula>
    </cfRule>
    <cfRule type="expression" dxfId="15" priority="25">
      <formula>AND(B373&gt;0,B523-TODAY()&gt;7)</formula>
    </cfRule>
  </conditionalFormatting>
  <conditionalFormatting sqref="B82:H87">
    <cfRule type="expression" dxfId="14" priority="26">
      <formula>AND(B382&gt;0,B532&lt;TODAY())</formula>
    </cfRule>
    <cfRule type="expression" dxfId="13" priority="27">
      <formula>AND(B382&gt;0,B532&gt;=TODAY(),B532-TODAY()&lt;=7)</formula>
    </cfRule>
    <cfRule type="expression" dxfId="12" priority="28">
      <formula>AND(B382&gt;0,B532-TODAY()&gt;7)</formula>
    </cfRule>
  </conditionalFormatting>
  <conditionalFormatting sqref="B91:H96">
    <cfRule type="expression" dxfId="11" priority="29">
      <formula>AND(B391&gt;0,B541&lt;TODAY())</formula>
    </cfRule>
    <cfRule type="expression" dxfId="10" priority="30">
      <formula>AND(B391&gt;0,B541&gt;=TODAY(),B541-TODAY()&lt;=7)</formula>
    </cfRule>
    <cfRule type="expression" dxfId="9" priority="31">
      <formula>AND(B391&gt;0,B541-TODAY()&gt;7)</formula>
    </cfRule>
  </conditionalFormatting>
  <conditionalFormatting sqref="B100:H105">
    <cfRule type="expression" dxfId="8" priority="32">
      <formula>AND(B400&gt;0,B550&lt;TODAY())</formula>
    </cfRule>
    <cfRule type="expression" dxfId="7" priority="33">
      <formula>AND(B400&gt;0,B550&gt;=TODAY(),B550-TODAY()&lt;=7)</formula>
    </cfRule>
    <cfRule type="expression" dxfId="6" priority="34">
      <formula>AND(B400&gt;0,B550-TODAY()&gt;7)</formula>
    </cfRule>
  </conditionalFormatting>
  <conditionalFormatting sqref="B109:H114">
    <cfRule type="expression" dxfId="5" priority="35">
      <formula>AND(B409&gt;0,B559&lt;TODAY())</formula>
    </cfRule>
    <cfRule type="expression" dxfId="4" priority="36">
      <formula>AND(B409&gt;0,B559&gt;=TODAY(),B559-TODAY()&lt;=7)</formula>
    </cfRule>
    <cfRule type="expression" dxfId="3" priority="37">
      <formula>AND(B409&gt;0,B559-TODAY()&gt;7)</formula>
    </cfRule>
  </conditionalFormatting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00"/>
  <sheetViews>
    <sheetView showGridLines="0" zoomScaleNormal="100" workbookViewId="0"/>
  </sheetViews>
  <sheetFormatPr baseColWidth="10" defaultColWidth="14.54296875" defaultRowHeight="14.5" x14ac:dyDescent="0.35"/>
  <cols>
    <col min="1" max="1" width="12" customWidth="1"/>
    <col min="2" max="2" width="23" customWidth="1"/>
    <col min="3" max="3" width="34" customWidth="1"/>
    <col min="4" max="4" width="28" customWidth="1"/>
    <col min="5" max="5" width="17" customWidth="1"/>
    <col min="6" max="6" width="16" customWidth="1"/>
    <col min="7" max="7" width="20" customWidth="1"/>
    <col min="8" max="8" width="12" customWidth="1"/>
    <col min="9" max="9" width="16" customWidth="1"/>
    <col min="10" max="10" width="42" customWidth="1"/>
    <col min="11" max="11" width="38" customWidth="1"/>
    <col min="12" max="12" width="23" customWidth="1"/>
    <col min="13" max="14" width="10" customWidth="1"/>
    <col min="15" max="26" width="8.81640625" customWidth="1"/>
  </cols>
  <sheetData>
    <row r="1" spans="1:19" ht="36" customHeight="1" x14ac:dyDescent="0.35">
      <c r="A1" s="62" t="s">
        <v>36</v>
      </c>
      <c r="B1" s="62" t="s">
        <v>38</v>
      </c>
      <c r="C1" s="62" t="s">
        <v>39</v>
      </c>
      <c r="D1" s="62" t="s">
        <v>40</v>
      </c>
      <c r="E1" s="62" t="s">
        <v>41</v>
      </c>
      <c r="F1" s="62" t="s">
        <v>42</v>
      </c>
      <c r="G1" s="62" t="s">
        <v>43</v>
      </c>
      <c r="H1" s="62" t="s">
        <v>44</v>
      </c>
      <c r="I1" s="62" t="s">
        <v>45</v>
      </c>
      <c r="J1" s="62" t="s">
        <v>46</v>
      </c>
      <c r="K1" s="62" t="s">
        <v>47</v>
      </c>
      <c r="L1" s="62" t="s">
        <v>76</v>
      </c>
      <c r="M1" s="62" t="s">
        <v>77</v>
      </c>
      <c r="N1" s="62" t="s">
        <v>78</v>
      </c>
      <c r="O1" s="17" t="s">
        <v>48</v>
      </c>
      <c r="P1" s="17" t="s">
        <v>37</v>
      </c>
      <c r="Q1" s="17" t="s">
        <v>79</v>
      </c>
      <c r="R1" s="17" t="s">
        <v>80</v>
      </c>
      <c r="S1" s="17" t="s">
        <v>81</v>
      </c>
    </row>
    <row r="2" spans="1:19" ht="45" customHeight="1" x14ac:dyDescent="0.35">
      <c r="A2" s="63">
        <v>46027</v>
      </c>
      <c r="B2" s="64" t="s">
        <v>26</v>
      </c>
      <c r="C2" s="64" t="s">
        <v>82</v>
      </c>
      <c r="D2" s="64" t="s">
        <v>83</v>
      </c>
      <c r="E2" s="64" t="s">
        <v>84</v>
      </c>
      <c r="F2" s="64" t="s">
        <v>85</v>
      </c>
      <c r="G2" s="64" t="s">
        <v>86</v>
      </c>
      <c r="H2" s="64" t="s">
        <v>87</v>
      </c>
      <c r="I2" s="64" t="s">
        <v>50</v>
      </c>
      <c r="J2" s="64" t="s">
        <v>88</v>
      </c>
      <c r="K2" s="64"/>
      <c r="L2" s="65" t="s">
        <v>26</v>
      </c>
      <c r="M2" s="65">
        <f>--AND(Configuración!$B$6&lt;&gt;"",OR(E2="Todas",ISNUMBER(SEARCH(Configuración!$B$7,E2))),IF(L2="Monotributo",Configuración!$B$10="Sí",IF(L2="Autónomos",Configuración!$B$11="Sí",IF(L2="Responsable inscripto",Configuración!$B$12="Sí",IF(L2="Empleador",Configuración!$B$13="Sí",IF(L2="Casas particulares",Configuración!$B$14="Sí",IF(L2="Retenciones",Configuración!$B$15="Sí",IF(L2="Sociedad",Configuración!$B$16="Sí",IF(L2="Persona humana",Configuración!$B$17="Sí",IF(L2="Convenio Multilateral",Configuración!$B$18="Sí",FALSE()))))))))))</f>
        <v>0</v>
      </c>
      <c r="N2" s="65" t="str">
        <f>IF(M2=1,COUNTIF($M$2:M2,1),"")</f>
        <v/>
      </c>
      <c r="O2" s="50">
        <f t="shared" ref="O2:O65" ca="1" si="0">IFERROR(INT(A2)-TODAY(),"")</f>
        <v>-226</v>
      </c>
      <c r="P2" s="17" t="str">
        <f t="shared" ref="P2:P65" ca="1" si="1">IF(A2="","",IF(O2&lt;0,"Vencido hace "&amp;-O2&amp;IF(O2=-1," día"," días"),IF(O2=0,"Vence hoy",IF(O2=1,"Vence mañana","Faltan "&amp;O2&amp;" días"))))</f>
        <v>Vencido hace 226 días</v>
      </c>
      <c r="Q2" s="50">
        <f t="shared" ref="Q2:Q65" si="2">IF(A2="","",INT(A2))</f>
        <v>46027</v>
      </c>
      <c r="R2" s="17" t="str">
        <f>IF(M2=1,COUNTIFS($Q$2:Q2,Q2,$M$2:M2,1),"")</f>
        <v/>
      </c>
      <c r="S2" s="50" t="str">
        <f t="shared" ref="S2:S65" si="3">IF(M2=1,Q2*10+R2,"")</f>
        <v/>
      </c>
    </row>
    <row r="3" spans="1:19" ht="45" customHeight="1" x14ac:dyDescent="0.35">
      <c r="A3" s="66">
        <v>46027</v>
      </c>
      <c r="B3" s="67" t="s">
        <v>26</v>
      </c>
      <c r="C3" s="67" t="s">
        <v>82</v>
      </c>
      <c r="D3" s="67" t="s">
        <v>83</v>
      </c>
      <c r="E3" s="67" t="s">
        <v>89</v>
      </c>
      <c r="F3" s="67" t="s">
        <v>85</v>
      </c>
      <c r="G3" s="67" t="s">
        <v>86</v>
      </c>
      <c r="H3" s="67" t="s">
        <v>87</v>
      </c>
      <c r="I3" s="67" t="s">
        <v>50</v>
      </c>
      <c r="J3" s="67" t="s">
        <v>88</v>
      </c>
      <c r="K3" s="67"/>
      <c r="L3" s="68" t="s">
        <v>26</v>
      </c>
      <c r="M3" s="68">
        <f>--AND(Configuración!$B$6&lt;&gt;"",OR(E3="Todas",ISNUMBER(SEARCH(Configuración!$B$7,E3))),IF(L3="Monotributo",Configuración!$B$10="Sí",IF(L3="Autónomos",Configuración!$B$11="Sí",IF(L3="Responsable inscripto",Configuración!$B$12="Sí",IF(L3="Empleador",Configuración!$B$13="Sí",IF(L3="Casas particulares",Configuración!$B$14="Sí",IF(L3="Retenciones",Configuración!$B$15="Sí",IF(L3="Sociedad",Configuración!$B$16="Sí",IF(L3="Persona humana",Configuración!$B$17="Sí",IF(L3="Convenio Multilateral",Configuración!$B$18="Sí",FALSE()))))))))))</f>
        <v>0</v>
      </c>
      <c r="N3" s="68" t="str">
        <f>IF(M3=1,COUNTIF($M$2:M3,1),"")</f>
        <v/>
      </c>
      <c r="O3" s="50">
        <f t="shared" ca="1" si="0"/>
        <v>-226</v>
      </c>
      <c r="P3" s="17" t="str">
        <f t="shared" ca="1" si="1"/>
        <v>Vencido hace 226 días</v>
      </c>
      <c r="Q3" s="50">
        <f t="shared" si="2"/>
        <v>46027</v>
      </c>
      <c r="R3" s="17" t="str">
        <f>IF(M3=1,COUNTIFS($Q$2:Q3,Q3,$M$2:M3,1),"")</f>
        <v/>
      </c>
      <c r="S3" s="50" t="str">
        <f t="shared" si="3"/>
        <v/>
      </c>
    </row>
    <row r="4" spans="1:19" ht="45" customHeight="1" x14ac:dyDescent="0.35">
      <c r="A4" s="66">
        <v>46027</v>
      </c>
      <c r="B4" s="67" t="s">
        <v>26</v>
      </c>
      <c r="C4" s="67" t="s">
        <v>82</v>
      </c>
      <c r="D4" s="67" t="s">
        <v>83</v>
      </c>
      <c r="E4" s="67" t="s">
        <v>90</v>
      </c>
      <c r="F4" s="67" t="s">
        <v>85</v>
      </c>
      <c r="G4" s="67" t="s">
        <v>86</v>
      </c>
      <c r="H4" s="67" t="s">
        <v>87</v>
      </c>
      <c r="I4" s="67" t="s">
        <v>50</v>
      </c>
      <c r="J4" s="67" t="s">
        <v>88</v>
      </c>
      <c r="K4" s="67"/>
      <c r="L4" s="68" t="s">
        <v>26</v>
      </c>
      <c r="M4" s="68">
        <f>--AND(Configuración!$B$6&lt;&gt;"",OR(E4="Todas",ISNUMBER(SEARCH(Configuración!$B$7,E4))),IF(L4="Monotributo",Configuración!$B$10="Sí",IF(L4="Autónomos",Configuración!$B$11="Sí",IF(L4="Responsable inscripto",Configuración!$B$12="Sí",IF(L4="Empleador",Configuración!$B$13="Sí",IF(L4="Casas particulares",Configuración!$B$14="Sí",IF(L4="Retenciones",Configuración!$B$15="Sí",IF(L4="Sociedad",Configuración!$B$16="Sí",IF(L4="Persona humana",Configuración!$B$17="Sí",IF(L4="Convenio Multilateral",Configuración!$B$18="Sí",FALSE()))))))))))</f>
        <v>0</v>
      </c>
      <c r="N4" s="68" t="str">
        <f>IF(M4=1,COUNTIF($M$2:M4,1),"")</f>
        <v/>
      </c>
      <c r="O4" s="50">
        <f t="shared" ca="1" si="0"/>
        <v>-226</v>
      </c>
      <c r="P4" s="17" t="str">
        <f t="shared" ca="1" si="1"/>
        <v>Vencido hace 226 días</v>
      </c>
      <c r="Q4" s="50">
        <f t="shared" si="2"/>
        <v>46027</v>
      </c>
      <c r="R4" s="17" t="str">
        <f>IF(M4=1,COUNTIFS($Q$2:Q4,Q4,$M$2:M4,1),"")</f>
        <v/>
      </c>
      <c r="S4" s="50" t="str">
        <f t="shared" si="3"/>
        <v/>
      </c>
    </row>
    <row r="5" spans="1:19" ht="45" customHeight="1" x14ac:dyDescent="0.35">
      <c r="A5" s="66">
        <v>46027</v>
      </c>
      <c r="B5" s="67" t="s">
        <v>91</v>
      </c>
      <c r="C5" s="67" t="s">
        <v>92</v>
      </c>
      <c r="D5" s="67" t="s">
        <v>93</v>
      </c>
      <c r="E5" s="67" t="s">
        <v>84</v>
      </c>
      <c r="F5" s="67" t="s">
        <v>85</v>
      </c>
      <c r="G5" s="67" t="s">
        <v>94</v>
      </c>
      <c r="H5" s="67" t="s">
        <v>87</v>
      </c>
      <c r="I5" s="67" t="s">
        <v>50</v>
      </c>
      <c r="J5" s="67" t="s">
        <v>88</v>
      </c>
      <c r="K5" s="67"/>
      <c r="L5" s="68" t="s">
        <v>95</v>
      </c>
      <c r="M5" s="68">
        <f>--AND(Configuración!$B$6&lt;&gt;"",OR(E5="Todas",ISNUMBER(SEARCH(Configuración!$B$7,E5))),IF(L5="Monotributo",Configuración!$B$10="Sí",IF(L5="Autónomos",Configuración!$B$11="Sí",IF(L5="Responsable inscripto",Configuración!$B$12="Sí",IF(L5="Empleador",Configuración!$B$13="Sí",IF(L5="Casas particulares",Configuración!$B$14="Sí",IF(L5="Retenciones",Configuración!$B$15="Sí",IF(L5="Sociedad",Configuración!$B$16="Sí",IF(L5="Persona humana",Configuración!$B$17="Sí",IF(L5="Convenio Multilateral",Configuración!$B$18="Sí",FALSE()))))))))))</f>
        <v>0</v>
      </c>
      <c r="N5" s="68" t="str">
        <f>IF(M5=1,COUNTIF($M$2:M5,1),"")</f>
        <v/>
      </c>
      <c r="O5" s="50">
        <f t="shared" ca="1" si="0"/>
        <v>-226</v>
      </c>
      <c r="P5" s="17" t="str">
        <f t="shared" ca="1" si="1"/>
        <v>Vencido hace 226 días</v>
      </c>
      <c r="Q5" s="50">
        <f t="shared" si="2"/>
        <v>46027</v>
      </c>
      <c r="R5" s="17" t="str">
        <f>IF(M5=1,COUNTIFS($Q$2:Q5,Q5,$M$2:M5,1),"")</f>
        <v/>
      </c>
      <c r="S5" s="50" t="str">
        <f t="shared" si="3"/>
        <v/>
      </c>
    </row>
    <row r="6" spans="1:19" ht="45" customHeight="1" x14ac:dyDescent="0.35">
      <c r="A6" s="66">
        <v>46027</v>
      </c>
      <c r="B6" s="67" t="s">
        <v>91</v>
      </c>
      <c r="C6" s="67" t="s">
        <v>92</v>
      </c>
      <c r="D6" s="67" t="s">
        <v>93</v>
      </c>
      <c r="E6" s="67" t="s">
        <v>89</v>
      </c>
      <c r="F6" s="67" t="s">
        <v>85</v>
      </c>
      <c r="G6" s="67" t="s">
        <v>94</v>
      </c>
      <c r="H6" s="67" t="s">
        <v>87</v>
      </c>
      <c r="I6" s="67" t="s">
        <v>50</v>
      </c>
      <c r="J6" s="67" t="s">
        <v>88</v>
      </c>
      <c r="K6" s="67"/>
      <c r="L6" s="68" t="s">
        <v>95</v>
      </c>
      <c r="M6" s="68">
        <f>--AND(Configuración!$B$6&lt;&gt;"",OR(E6="Todas",ISNUMBER(SEARCH(Configuración!$B$7,E6))),IF(L6="Monotributo",Configuración!$B$10="Sí",IF(L6="Autónomos",Configuración!$B$11="Sí",IF(L6="Responsable inscripto",Configuración!$B$12="Sí",IF(L6="Empleador",Configuración!$B$13="Sí",IF(L6="Casas particulares",Configuración!$B$14="Sí",IF(L6="Retenciones",Configuración!$B$15="Sí",IF(L6="Sociedad",Configuración!$B$16="Sí",IF(L6="Persona humana",Configuración!$B$17="Sí",IF(L6="Convenio Multilateral",Configuración!$B$18="Sí",FALSE()))))))))))</f>
        <v>0</v>
      </c>
      <c r="N6" s="68" t="str">
        <f>IF(M6=1,COUNTIF($M$2:M6,1),"")</f>
        <v/>
      </c>
      <c r="O6" s="50">
        <f t="shared" ca="1" si="0"/>
        <v>-226</v>
      </c>
      <c r="P6" s="17" t="str">
        <f t="shared" ca="1" si="1"/>
        <v>Vencido hace 226 días</v>
      </c>
      <c r="Q6" s="50">
        <f t="shared" si="2"/>
        <v>46027</v>
      </c>
      <c r="R6" s="17" t="str">
        <f>IF(M6=1,COUNTIFS($Q$2:Q6,Q6,$M$2:M6,1),"")</f>
        <v/>
      </c>
      <c r="S6" s="50" t="str">
        <f t="shared" si="3"/>
        <v/>
      </c>
    </row>
    <row r="7" spans="1:19" ht="45" customHeight="1" x14ac:dyDescent="0.35">
      <c r="A7" s="66">
        <v>46028</v>
      </c>
      <c r="B7" s="67" t="s">
        <v>91</v>
      </c>
      <c r="C7" s="67" t="s">
        <v>92</v>
      </c>
      <c r="D7" s="67" t="s">
        <v>93</v>
      </c>
      <c r="E7" s="67" t="s">
        <v>90</v>
      </c>
      <c r="F7" s="67" t="s">
        <v>85</v>
      </c>
      <c r="G7" s="67" t="s">
        <v>94</v>
      </c>
      <c r="H7" s="67" t="s">
        <v>87</v>
      </c>
      <c r="I7" s="67" t="s">
        <v>50</v>
      </c>
      <c r="J7" s="67" t="s">
        <v>88</v>
      </c>
      <c r="K7" s="67"/>
      <c r="L7" s="68" t="s">
        <v>95</v>
      </c>
      <c r="M7" s="68">
        <f>--AND(Configuración!$B$6&lt;&gt;"",OR(E7="Todas",ISNUMBER(SEARCH(Configuración!$B$7,E7))),IF(L7="Monotributo",Configuración!$B$10="Sí",IF(L7="Autónomos",Configuración!$B$11="Sí",IF(L7="Responsable inscripto",Configuración!$B$12="Sí",IF(L7="Empleador",Configuración!$B$13="Sí",IF(L7="Casas particulares",Configuración!$B$14="Sí",IF(L7="Retenciones",Configuración!$B$15="Sí",IF(L7="Sociedad",Configuración!$B$16="Sí",IF(L7="Persona humana",Configuración!$B$17="Sí",IF(L7="Convenio Multilateral",Configuración!$B$18="Sí",FALSE()))))))))))</f>
        <v>0</v>
      </c>
      <c r="N7" s="68" t="str">
        <f>IF(M7=1,COUNTIF($M$2:M7,1),"")</f>
        <v/>
      </c>
      <c r="O7" s="50">
        <f t="shared" ca="1" si="0"/>
        <v>-225</v>
      </c>
      <c r="P7" s="17" t="str">
        <f t="shared" ca="1" si="1"/>
        <v>Vencido hace 225 días</v>
      </c>
      <c r="Q7" s="50">
        <f t="shared" si="2"/>
        <v>46028</v>
      </c>
      <c r="R7" s="17" t="str">
        <f>IF(M7=1,COUNTIFS($Q$2:Q7,Q7,$M$2:M7,1),"")</f>
        <v/>
      </c>
      <c r="S7" s="50" t="str">
        <f t="shared" si="3"/>
        <v/>
      </c>
    </row>
    <row r="8" spans="1:19" ht="45" customHeight="1" x14ac:dyDescent="0.35">
      <c r="A8" s="66">
        <v>46029</v>
      </c>
      <c r="B8" s="67" t="s">
        <v>96</v>
      </c>
      <c r="C8" s="67" t="s">
        <v>97</v>
      </c>
      <c r="D8" s="67" t="s">
        <v>98</v>
      </c>
      <c r="E8" s="67" t="s">
        <v>84</v>
      </c>
      <c r="F8" s="67" t="s">
        <v>85</v>
      </c>
      <c r="G8" s="67" t="s">
        <v>94</v>
      </c>
      <c r="H8" s="67" t="s">
        <v>87</v>
      </c>
      <c r="I8" s="67" t="s">
        <v>50</v>
      </c>
      <c r="J8" s="67" t="s">
        <v>88</v>
      </c>
      <c r="K8" s="67"/>
      <c r="L8" s="68" t="s">
        <v>99</v>
      </c>
      <c r="M8" s="68">
        <f>--AND(Configuración!$B$6&lt;&gt;"",OR(E8="Todas",ISNUMBER(SEARCH(Configuración!$B$7,E8))),IF(L8="Monotributo",Configuración!$B$10="Sí",IF(L8="Autónomos",Configuración!$B$11="Sí",IF(L8="Responsable inscripto",Configuración!$B$12="Sí",IF(L8="Empleador",Configuración!$B$13="Sí",IF(L8="Casas particulares",Configuración!$B$14="Sí",IF(L8="Retenciones",Configuración!$B$15="Sí",IF(L8="Sociedad",Configuración!$B$16="Sí",IF(L8="Persona humana",Configuración!$B$17="Sí",IF(L8="Convenio Multilateral",Configuración!$B$18="Sí",FALSE()))))))))))</f>
        <v>0</v>
      </c>
      <c r="N8" s="68" t="str">
        <f>IF(M8=1,COUNTIF($M$2:M8,1),"")</f>
        <v/>
      </c>
      <c r="O8" s="50">
        <f t="shared" ca="1" si="0"/>
        <v>-224</v>
      </c>
      <c r="P8" s="17" t="str">
        <f t="shared" ca="1" si="1"/>
        <v>Vencido hace 224 días</v>
      </c>
      <c r="Q8" s="50">
        <f t="shared" si="2"/>
        <v>46029</v>
      </c>
      <c r="R8" s="17" t="str">
        <f>IF(M8=1,COUNTIFS($Q$2:Q8,Q8,$M$2:M8,1),"")</f>
        <v/>
      </c>
      <c r="S8" s="50" t="str">
        <f t="shared" si="3"/>
        <v/>
      </c>
    </row>
    <row r="9" spans="1:19" ht="45" customHeight="1" x14ac:dyDescent="0.35">
      <c r="A9" s="66">
        <v>46030</v>
      </c>
      <c r="B9" s="67" t="s">
        <v>96</v>
      </c>
      <c r="C9" s="67" t="s">
        <v>97</v>
      </c>
      <c r="D9" s="67" t="s">
        <v>98</v>
      </c>
      <c r="E9" s="67" t="s">
        <v>89</v>
      </c>
      <c r="F9" s="67" t="s">
        <v>85</v>
      </c>
      <c r="G9" s="67" t="s">
        <v>94</v>
      </c>
      <c r="H9" s="67" t="s">
        <v>87</v>
      </c>
      <c r="I9" s="67" t="s">
        <v>50</v>
      </c>
      <c r="J9" s="67" t="s">
        <v>88</v>
      </c>
      <c r="K9" s="67"/>
      <c r="L9" s="68" t="s">
        <v>99</v>
      </c>
      <c r="M9" s="68">
        <f>--AND(Configuración!$B$6&lt;&gt;"",OR(E9="Todas",ISNUMBER(SEARCH(Configuración!$B$7,E9))),IF(L9="Monotributo",Configuración!$B$10="Sí",IF(L9="Autónomos",Configuración!$B$11="Sí",IF(L9="Responsable inscripto",Configuración!$B$12="Sí",IF(L9="Empleador",Configuración!$B$13="Sí",IF(L9="Casas particulares",Configuración!$B$14="Sí",IF(L9="Retenciones",Configuración!$B$15="Sí",IF(L9="Sociedad",Configuración!$B$16="Sí",IF(L9="Persona humana",Configuración!$B$17="Sí",IF(L9="Convenio Multilateral",Configuración!$B$18="Sí",FALSE()))))))))))</f>
        <v>0</v>
      </c>
      <c r="N9" s="68" t="str">
        <f>IF(M9=1,COUNTIF($M$2:M9,1),"")</f>
        <v/>
      </c>
      <c r="O9" s="50">
        <f t="shared" ca="1" si="0"/>
        <v>-223</v>
      </c>
      <c r="P9" s="17" t="str">
        <f t="shared" ca="1" si="1"/>
        <v>Vencido hace 223 días</v>
      </c>
      <c r="Q9" s="50">
        <f t="shared" si="2"/>
        <v>46030</v>
      </c>
      <c r="R9" s="17" t="str">
        <f>IF(M9=1,COUNTIFS($Q$2:Q9,Q9,$M$2:M9,1),"")</f>
        <v/>
      </c>
      <c r="S9" s="50" t="str">
        <f t="shared" si="3"/>
        <v/>
      </c>
    </row>
    <row r="10" spans="1:19" ht="45" customHeight="1" x14ac:dyDescent="0.35">
      <c r="A10" s="66">
        <v>46031</v>
      </c>
      <c r="B10" s="67" t="s">
        <v>96</v>
      </c>
      <c r="C10" s="67" t="s">
        <v>97</v>
      </c>
      <c r="D10" s="67" t="s">
        <v>98</v>
      </c>
      <c r="E10" s="67" t="s">
        <v>90</v>
      </c>
      <c r="F10" s="67" t="s">
        <v>85</v>
      </c>
      <c r="G10" s="67" t="s">
        <v>94</v>
      </c>
      <c r="H10" s="67" t="s">
        <v>87</v>
      </c>
      <c r="I10" s="67" t="s">
        <v>50</v>
      </c>
      <c r="J10" s="67" t="s">
        <v>88</v>
      </c>
      <c r="K10" s="67"/>
      <c r="L10" s="68" t="s">
        <v>99</v>
      </c>
      <c r="M10" s="68">
        <f>--AND(Configuración!$B$6&lt;&gt;"",OR(E10="Todas",ISNUMBER(SEARCH(Configuración!$B$7,E10))),IF(L10="Monotributo",Configuración!$B$10="Sí",IF(L10="Autónomos",Configuración!$B$11="Sí",IF(L10="Responsable inscripto",Configuración!$B$12="Sí",IF(L10="Empleador",Configuración!$B$13="Sí",IF(L10="Casas particulares",Configuración!$B$14="Sí",IF(L10="Retenciones",Configuración!$B$15="Sí",IF(L10="Sociedad",Configuración!$B$16="Sí",IF(L10="Persona humana",Configuración!$B$17="Sí",IF(L10="Convenio Multilateral",Configuración!$B$18="Sí",FALSE()))))))))))</f>
        <v>0</v>
      </c>
      <c r="N10" s="68" t="str">
        <f>IF(M10=1,COUNTIF($M$2:M10,1),"")</f>
        <v/>
      </c>
      <c r="O10" s="50">
        <f t="shared" ca="1" si="0"/>
        <v>-222</v>
      </c>
      <c r="P10" s="17" t="str">
        <f t="shared" ca="1" si="1"/>
        <v>Vencido hace 222 días</v>
      </c>
      <c r="Q10" s="50">
        <f t="shared" si="2"/>
        <v>46031</v>
      </c>
      <c r="R10" s="17" t="str">
        <f>IF(M10=1,COUNTIFS($Q$2:Q10,Q10,$M$2:M10,1),"")</f>
        <v/>
      </c>
      <c r="S10" s="50" t="str">
        <f t="shared" si="3"/>
        <v/>
      </c>
    </row>
    <row r="11" spans="1:19" ht="45" customHeight="1" x14ac:dyDescent="0.35">
      <c r="A11" s="66">
        <v>46031</v>
      </c>
      <c r="B11" s="67" t="s">
        <v>100</v>
      </c>
      <c r="C11" s="67" t="s">
        <v>101</v>
      </c>
      <c r="D11" s="67" t="s">
        <v>93</v>
      </c>
      <c r="E11" s="67" t="s">
        <v>84</v>
      </c>
      <c r="F11" s="67" t="s">
        <v>85</v>
      </c>
      <c r="G11" s="67" t="s">
        <v>94</v>
      </c>
      <c r="H11" s="67" t="s">
        <v>87</v>
      </c>
      <c r="I11" s="67" t="s">
        <v>50</v>
      </c>
      <c r="J11" s="67" t="s">
        <v>88</v>
      </c>
      <c r="K11" s="67"/>
      <c r="L11" s="68" t="s">
        <v>95</v>
      </c>
      <c r="M11" s="68">
        <f>--AND(Configuración!$B$6&lt;&gt;"",OR(E11="Todas",ISNUMBER(SEARCH(Configuración!$B$7,E11))),IF(L11="Monotributo",Configuración!$B$10="Sí",IF(L11="Autónomos",Configuración!$B$11="Sí",IF(L11="Responsable inscripto",Configuración!$B$12="Sí",IF(L11="Empleador",Configuración!$B$13="Sí",IF(L11="Casas particulares",Configuración!$B$14="Sí",IF(L11="Retenciones",Configuración!$B$15="Sí",IF(L11="Sociedad",Configuración!$B$16="Sí",IF(L11="Persona humana",Configuración!$B$17="Sí",IF(L11="Convenio Multilateral",Configuración!$B$18="Sí",FALSE()))))))))))</f>
        <v>0</v>
      </c>
      <c r="N11" s="68" t="str">
        <f>IF(M11=1,COUNTIF($M$2:M11,1),"")</f>
        <v/>
      </c>
      <c r="O11" s="50">
        <f t="shared" ca="1" si="0"/>
        <v>-222</v>
      </c>
      <c r="P11" s="17" t="str">
        <f t="shared" ca="1" si="1"/>
        <v>Vencido hace 222 días</v>
      </c>
      <c r="Q11" s="50">
        <f t="shared" si="2"/>
        <v>46031</v>
      </c>
      <c r="R11" s="17" t="str">
        <f>IF(M11=1,COUNTIFS($Q$2:Q11,Q11,$M$2:M11,1),"")</f>
        <v/>
      </c>
      <c r="S11" s="50" t="str">
        <f t="shared" si="3"/>
        <v/>
      </c>
    </row>
    <row r="12" spans="1:19" ht="45" customHeight="1" x14ac:dyDescent="0.35">
      <c r="A12" s="66">
        <v>46034</v>
      </c>
      <c r="B12" s="67" t="s">
        <v>29</v>
      </c>
      <c r="C12" s="67" t="s">
        <v>102</v>
      </c>
      <c r="D12" s="67" t="s">
        <v>103</v>
      </c>
      <c r="E12" s="67" t="s">
        <v>104</v>
      </c>
      <c r="F12" s="67" t="s">
        <v>85</v>
      </c>
      <c r="G12" s="67" t="s">
        <v>86</v>
      </c>
      <c r="H12" s="67" t="s">
        <v>87</v>
      </c>
      <c r="I12" s="67" t="s">
        <v>50</v>
      </c>
      <c r="J12" s="67" t="s">
        <v>88</v>
      </c>
      <c r="K12" s="67"/>
      <c r="L12" s="68" t="s">
        <v>29</v>
      </c>
      <c r="M12" s="68">
        <f>--AND(Configuración!$B$6&lt;&gt;"",OR(E12="Todas",ISNUMBER(SEARCH(Configuración!$B$7,E12))),IF(L12="Monotributo",Configuración!$B$10="Sí",IF(L12="Autónomos",Configuración!$B$11="Sí",IF(L12="Responsable inscripto",Configuración!$B$12="Sí",IF(L12="Empleador",Configuración!$B$13="Sí",IF(L12="Casas particulares",Configuración!$B$14="Sí",IF(L12="Retenciones",Configuración!$B$15="Sí",IF(L12="Sociedad",Configuración!$B$16="Sí",IF(L12="Persona humana",Configuración!$B$17="Sí",IF(L12="Convenio Multilateral",Configuración!$B$18="Sí",FALSE()))))))))))</f>
        <v>0</v>
      </c>
      <c r="N12" s="68" t="str">
        <f>IF(M12=1,COUNTIF($M$2:M12,1),"")</f>
        <v/>
      </c>
      <c r="O12" s="50">
        <f t="shared" ca="1" si="0"/>
        <v>-219</v>
      </c>
      <c r="P12" s="17" t="str">
        <f t="shared" ca="1" si="1"/>
        <v>Vencido hace 219 días</v>
      </c>
      <c r="Q12" s="50">
        <f t="shared" si="2"/>
        <v>46034</v>
      </c>
      <c r="R12" s="17" t="str">
        <f>IF(M12=1,COUNTIFS($Q$2:Q12,Q12,$M$2:M12,1),"")</f>
        <v/>
      </c>
      <c r="S12" s="50" t="str">
        <f t="shared" si="3"/>
        <v/>
      </c>
    </row>
    <row r="13" spans="1:19" ht="45" customHeight="1" x14ac:dyDescent="0.35">
      <c r="A13" s="66">
        <v>46034</v>
      </c>
      <c r="B13" s="67" t="s">
        <v>100</v>
      </c>
      <c r="C13" s="67" t="s">
        <v>101</v>
      </c>
      <c r="D13" s="67" t="s">
        <v>93</v>
      </c>
      <c r="E13" s="67" t="s">
        <v>89</v>
      </c>
      <c r="F13" s="67" t="s">
        <v>85</v>
      </c>
      <c r="G13" s="67" t="s">
        <v>94</v>
      </c>
      <c r="H13" s="67" t="s">
        <v>87</v>
      </c>
      <c r="I13" s="67" t="s">
        <v>50</v>
      </c>
      <c r="J13" s="67" t="s">
        <v>88</v>
      </c>
      <c r="K13" s="67"/>
      <c r="L13" s="68" t="s">
        <v>95</v>
      </c>
      <c r="M13" s="68">
        <f>--AND(Configuración!$B$6&lt;&gt;"",OR(E13="Todas",ISNUMBER(SEARCH(Configuración!$B$7,E13))),IF(L13="Monotributo",Configuración!$B$10="Sí",IF(L13="Autónomos",Configuración!$B$11="Sí",IF(L13="Responsable inscripto",Configuración!$B$12="Sí",IF(L13="Empleador",Configuración!$B$13="Sí",IF(L13="Casas particulares",Configuración!$B$14="Sí",IF(L13="Retenciones",Configuración!$B$15="Sí",IF(L13="Sociedad",Configuración!$B$16="Sí",IF(L13="Persona humana",Configuración!$B$17="Sí",IF(L13="Convenio Multilateral",Configuración!$B$18="Sí",FALSE()))))))))))</f>
        <v>0</v>
      </c>
      <c r="N13" s="68" t="str">
        <f>IF(M13=1,COUNTIF($M$2:M13,1),"")</f>
        <v/>
      </c>
      <c r="O13" s="50">
        <f t="shared" ca="1" si="0"/>
        <v>-219</v>
      </c>
      <c r="P13" s="17" t="str">
        <f t="shared" ca="1" si="1"/>
        <v>Vencido hace 219 días</v>
      </c>
      <c r="Q13" s="50">
        <f t="shared" si="2"/>
        <v>46034</v>
      </c>
      <c r="R13" s="17" t="str">
        <f>IF(M13=1,COUNTIFS($Q$2:Q13,Q13,$M$2:M13,1),"")</f>
        <v/>
      </c>
      <c r="S13" s="50" t="str">
        <f t="shared" si="3"/>
        <v/>
      </c>
    </row>
    <row r="14" spans="1:19" ht="45" customHeight="1" x14ac:dyDescent="0.35">
      <c r="A14" s="66">
        <v>46034</v>
      </c>
      <c r="B14" s="67" t="s">
        <v>100</v>
      </c>
      <c r="C14" s="67" t="s">
        <v>101</v>
      </c>
      <c r="D14" s="67" t="s">
        <v>93</v>
      </c>
      <c r="E14" s="67" t="s">
        <v>90</v>
      </c>
      <c r="F14" s="67" t="s">
        <v>85</v>
      </c>
      <c r="G14" s="67" t="s">
        <v>94</v>
      </c>
      <c r="H14" s="67" t="s">
        <v>87</v>
      </c>
      <c r="I14" s="67" t="s">
        <v>50</v>
      </c>
      <c r="J14" s="67" t="s">
        <v>88</v>
      </c>
      <c r="K14" s="67"/>
      <c r="L14" s="68" t="s">
        <v>95</v>
      </c>
      <c r="M14" s="68">
        <f>--AND(Configuración!$B$6&lt;&gt;"",OR(E14="Todas",ISNUMBER(SEARCH(Configuración!$B$7,E14))),IF(L14="Monotributo",Configuración!$B$10="Sí",IF(L14="Autónomos",Configuración!$B$11="Sí",IF(L14="Responsable inscripto",Configuración!$B$12="Sí",IF(L14="Empleador",Configuración!$B$13="Sí",IF(L14="Casas particulares",Configuración!$B$14="Sí",IF(L14="Retenciones",Configuración!$B$15="Sí",IF(L14="Sociedad",Configuración!$B$16="Sí",IF(L14="Persona humana",Configuración!$B$17="Sí",IF(L14="Convenio Multilateral",Configuración!$B$18="Sí",FALSE()))))))))))</f>
        <v>0</v>
      </c>
      <c r="N14" s="68" t="str">
        <f>IF(M14=1,COUNTIF($M$2:M14,1),"")</f>
        <v/>
      </c>
      <c r="O14" s="50">
        <f t="shared" ca="1" si="0"/>
        <v>-219</v>
      </c>
      <c r="P14" s="17" t="str">
        <f t="shared" ca="1" si="1"/>
        <v>Vencido hace 219 días</v>
      </c>
      <c r="Q14" s="50">
        <f t="shared" si="2"/>
        <v>46034</v>
      </c>
      <c r="R14" s="17" t="str">
        <f>IF(M14=1,COUNTIFS($Q$2:Q14,Q14,$M$2:M14,1),"")</f>
        <v/>
      </c>
      <c r="S14" s="50" t="str">
        <f t="shared" si="3"/>
        <v/>
      </c>
    </row>
    <row r="15" spans="1:19" ht="45" customHeight="1" x14ac:dyDescent="0.35">
      <c r="A15" s="66">
        <v>46035.625</v>
      </c>
      <c r="B15" s="67" t="s">
        <v>105</v>
      </c>
      <c r="C15" s="67" t="s">
        <v>106</v>
      </c>
      <c r="D15" s="67" t="s">
        <v>107</v>
      </c>
      <c r="E15" s="67" t="s">
        <v>84</v>
      </c>
      <c r="F15" s="67" t="s">
        <v>108</v>
      </c>
      <c r="G15" s="67" t="s">
        <v>109</v>
      </c>
      <c r="H15" s="67" t="s">
        <v>87</v>
      </c>
      <c r="I15" s="67" t="s">
        <v>50</v>
      </c>
      <c r="J15" s="67" t="s">
        <v>110</v>
      </c>
      <c r="K15" s="67" t="s">
        <v>111</v>
      </c>
      <c r="L15" s="68" t="s">
        <v>112</v>
      </c>
      <c r="M15" s="68">
        <f>--AND(Configuración!$B$6&lt;&gt;"",OR(E15="Todas",ISNUMBER(SEARCH(Configuración!$B$7,E15))),IF(L15="Monotributo",Configuración!$B$10="Sí",IF(L15="Autónomos",Configuración!$B$11="Sí",IF(L15="Responsable inscripto",Configuración!$B$12="Sí",IF(L15="Empleador",Configuración!$B$13="Sí",IF(L15="Casas particulares",Configuración!$B$14="Sí",IF(L15="Retenciones",Configuración!$B$15="Sí",IF(L15="Sociedad",Configuración!$B$16="Sí",IF(L15="Persona humana",Configuración!$B$17="Sí",IF(L15="Convenio Multilateral",Configuración!$B$18="Sí",FALSE()))))))))))</f>
        <v>0</v>
      </c>
      <c r="N15" s="68" t="str">
        <f>IF(M15=1,COUNTIF($M$2:M15,1),"")</f>
        <v/>
      </c>
      <c r="O15" s="50">
        <f t="shared" ca="1" si="0"/>
        <v>-218</v>
      </c>
      <c r="P15" s="17" t="str">
        <f t="shared" ca="1" si="1"/>
        <v>Vencido hace 218 días</v>
      </c>
      <c r="Q15" s="50">
        <f t="shared" si="2"/>
        <v>46035</v>
      </c>
      <c r="R15" s="17" t="str">
        <f>IF(M15=1,COUNTIFS($Q$2:Q15,Q15,$M$2:M15,1),"")</f>
        <v/>
      </c>
      <c r="S15" s="50" t="str">
        <f t="shared" si="3"/>
        <v/>
      </c>
    </row>
    <row r="16" spans="1:19" ht="45" customHeight="1" x14ac:dyDescent="0.35">
      <c r="A16" s="66">
        <v>46036.625</v>
      </c>
      <c r="B16" s="67" t="s">
        <v>105</v>
      </c>
      <c r="C16" s="67" t="s">
        <v>106</v>
      </c>
      <c r="D16" s="67" t="s">
        <v>107</v>
      </c>
      <c r="E16" s="67" t="s">
        <v>89</v>
      </c>
      <c r="F16" s="67" t="s">
        <v>108</v>
      </c>
      <c r="G16" s="67" t="s">
        <v>109</v>
      </c>
      <c r="H16" s="67" t="s">
        <v>87</v>
      </c>
      <c r="I16" s="67" t="s">
        <v>50</v>
      </c>
      <c r="J16" s="67" t="s">
        <v>110</v>
      </c>
      <c r="K16" s="67" t="s">
        <v>111</v>
      </c>
      <c r="L16" s="68" t="s">
        <v>112</v>
      </c>
      <c r="M16" s="68">
        <f>--AND(Configuración!$B$6&lt;&gt;"",OR(E16="Todas",ISNUMBER(SEARCH(Configuración!$B$7,E16))),IF(L16="Monotributo",Configuración!$B$10="Sí",IF(L16="Autónomos",Configuración!$B$11="Sí",IF(L16="Responsable inscripto",Configuración!$B$12="Sí",IF(L16="Empleador",Configuración!$B$13="Sí",IF(L16="Casas particulares",Configuración!$B$14="Sí",IF(L16="Retenciones",Configuración!$B$15="Sí",IF(L16="Sociedad",Configuración!$B$16="Sí",IF(L16="Persona humana",Configuración!$B$17="Sí",IF(L16="Convenio Multilateral",Configuración!$B$18="Sí",FALSE()))))))))))</f>
        <v>0</v>
      </c>
      <c r="N16" s="68" t="str">
        <f>IF(M16=1,COUNTIF($M$2:M16,1),"")</f>
        <v/>
      </c>
      <c r="O16" s="50">
        <f t="shared" ca="1" si="0"/>
        <v>-217</v>
      </c>
      <c r="P16" s="17" t="str">
        <f t="shared" ca="1" si="1"/>
        <v>Vencido hace 217 días</v>
      </c>
      <c r="Q16" s="50">
        <f t="shared" si="2"/>
        <v>46036</v>
      </c>
      <c r="R16" s="17" t="str">
        <f>IF(M16=1,COUNTIFS($Q$2:Q16,Q16,$M$2:M16,1),"")</f>
        <v/>
      </c>
      <c r="S16" s="50" t="str">
        <f t="shared" si="3"/>
        <v/>
      </c>
    </row>
    <row r="17" spans="1:19" ht="45" customHeight="1" x14ac:dyDescent="0.35">
      <c r="A17" s="66">
        <v>46037</v>
      </c>
      <c r="B17" s="67" t="s">
        <v>29</v>
      </c>
      <c r="C17" s="67" t="s">
        <v>113</v>
      </c>
      <c r="D17" s="67" t="s">
        <v>114</v>
      </c>
      <c r="E17" s="67" t="s">
        <v>104</v>
      </c>
      <c r="F17" s="67" t="s">
        <v>85</v>
      </c>
      <c r="G17" s="67" t="s">
        <v>86</v>
      </c>
      <c r="H17" s="67" t="s">
        <v>87</v>
      </c>
      <c r="I17" s="67" t="s">
        <v>50</v>
      </c>
      <c r="J17" s="67" t="s">
        <v>88</v>
      </c>
      <c r="K17" s="67"/>
      <c r="L17" s="68" t="s">
        <v>29</v>
      </c>
      <c r="M17" s="68">
        <f>--AND(Configuración!$B$6&lt;&gt;"",OR(E17="Todas",ISNUMBER(SEARCH(Configuración!$B$7,E17))),IF(L17="Monotributo",Configuración!$B$10="Sí",IF(L17="Autónomos",Configuración!$B$11="Sí",IF(L17="Responsable inscripto",Configuración!$B$12="Sí",IF(L17="Empleador",Configuración!$B$13="Sí",IF(L17="Casas particulares",Configuración!$B$14="Sí",IF(L17="Retenciones",Configuración!$B$15="Sí",IF(L17="Sociedad",Configuración!$B$16="Sí",IF(L17="Persona humana",Configuración!$B$17="Sí",IF(L17="Convenio Multilateral",Configuración!$B$18="Sí",FALSE()))))))))))</f>
        <v>0</v>
      </c>
      <c r="N17" s="68" t="str">
        <f>IF(M17=1,COUNTIF($M$2:M17,1),"")</f>
        <v/>
      </c>
      <c r="O17" s="50">
        <f t="shared" ca="1" si="0"/>
        <v>-216</v>
      </c>
      <c r="P17" s="17" t="str">
        <f t="shared" ca="1" si="1"/>
        <v>Vencido hace 216 días</v>
      </c>
      <c r="Q17" s="50">
        <f t="shared" si="2"/>
        <v>46037</v>
      </c>
      <c r="R17" s="17" t="str">
        <f>IF(M17=1,COUNTIFS($Q$2:Q17,Q17,$M$2:M17,1),"")</f>
        <v/>
      </c>
      <c r="S17" s="50" t="str">
        <f t="shared" si="3"/>
        <v/>
      </c>
    </row>
    <row r="18" spans="1:19" ht="45" customHeight="1" x14ac:dyDescent="0.35">
      <c r="A18" s="66">
        <v>46037.625</v>
      </c>
      <c r="B18" s="67" t="s">
        <v>105</v>
      </c>
      <c r="C18" s="67" t="s">
        <v>106</v>
      </c>
      <c r="D18" s="67" t="s">
        <v>107</v>
      </c>
      <c r="E18" s="67" t="s">
        <v>90</v>
      </c>
      <c r="F18" s="67" t="s">
        <v>108</v>
      </c>
      <c r="G18" s="67" t="s">
        <v>109</v>
      </c>
      <c r="H18" s="67" t="s">
        <v>87</v>
      </c>
      <c r="I18" s="67" t="s">
        <v>50</v>
      </c>
      <c r="J18" s="67" t="s">
        <v>110</v>
      </c>
      <c r="K18" s="67" t="s">
        <v>111</v>
      </c>
      <c r="L18" s="68" t="s">
        <v>112</v>
      </c>
      <c r="M18" s="68">
        <f>--AND(Configuración!$B$6&lt;&gt;"",OR(E18="Todas",ISNUMBER(SEARCH(Configuración!$B$7,E18))),IF(L18="Monotributo",Configuración!$B$10="Sí",IF(L18="Autónomos",Configuración!$B$11="Sí",IF(L18="Responsable inscripto",Configuración!$B$12="Sí",IF(L18="Empleador",Configuración!$B$13="Sí",IF(L18="Casas particulares",Configuración!$B$14="Sí",IF(L18="Retenciones",Configuración!$B$15="Sí",IF(L18="Sociedad",Configuración!$B$16="Sí",IF(L18="Persona humana",Configuración!$B$17="Sí",IF(L18="Convenio Multilateral",Configuración!$B$18="Sí",FALSE()))))))))))</f>
        <v>0</v>
      </c>
      <c r="N18" s="68" t="str">
        <f>IF(M18=1,COUNTIF($M$2:M18,1),"")</f>
        <v/>
      </c>
      <c r="O18" s="50">
        <f t="shared" ca="1" si="0"/>
        <v>-216</v>
      </c>
      <c r="P18" s="17" t="str">
        <f t="shared" ca="1" si="1"/>
        <v>Vencido hace 216 días</v>
      </c>
      <c r="Q18" s="50">
        <f t="shared" si="2"/>
        <v>46037</v>
      </c>
      <c r="R18" s="17" t="str">
        <f>IF(M18=1,COUNTIFS($Q$2:Q18,Q18,$M$2:M18,1),"")</f>
        <v/>
      </c>
      <c r="S18" s="50" t="str">
        <f t="shared" si="3"/>
        <v/>
      </c>
    </row>
    <row r="19" spans="1:19" ht="45" customHeight="1" x14ac:dyDescent="0.35">
      <c r="A19" s="66">
        <v>46041</v>
      </c>
      <c r="B19" s="67" t="s">
        <v>115</v>
      </c>
      <c r="C19" s="67" t="s">
        <v>116</v>
      </c>
      <c r="D19" s="67" t="s">
        <v>117</v>
      </c>
      <c r="E19" s="67" t="s">
        <v>84</v>
      </c>
      <c r="F19" s="67" t="s">
        <v>85</v>
      </c>
      <c r="G19" s="67" t="s">
        <v>94</v>
      </c>
      <c r="H19" s="67" t="s">
        <v>87</v>
      </c>
      <c r="I19" s="67" t="s">
        <v>50</v>
      </c>
      <c r="J19" s="67" t="s">
        <v>88</v>
      </c>
      <c r="K19" s="67"/>
      <c r="L19" s="68" t="s">
        <v>118</v>
      </c>
      <c r="M19" s="68">
        <f>--AND(Configuración!$B$6&lt;&gt;"",OR(E19="Todas",ISNUMBER(SEARCH(Configuración!$B$7,E19))),IF(L19="Monotributo",Configuración!$B$10="Sí",IF(L19="Autónomos",Configuración!$B$11="Sí",IF(L19="Responsable inscripto",Configuración!$B$12="Sí",IF(L19="Empleador",Configuración!$B$13="Sí",IF(L19="Casas particulares",Configuración!$B$14="Sí",IF(L19="Retenciones",Configuración!$B$15="Sí",IF(L19="Sociedad",Configuración!$B$16="Sí",IF(L19="Persona humana",Configuración!$B$17="Sí",IF(L19="Convenio Multilateral",Configuración!$B$18="Sí",FALSE()))))))))))</f>
        <v>0</v>
      </c>
      <c r="N19" s="68" t="str">
        <f>IF(M19=1,COUNTIF($M$2:M19,1),"")</f>
        <v/>
      </c>
      <c r="O19" s="50">
        <f t="shared" ca="1" si="0"/>
        <v>-212</v>
      </c>
      <c r="P19" s="17" t="str">
        <f t="shared" ca="1" si="1"/>
        <v>Vencido hace 212 días</v>
      </c>
      <c r="Q19" s="50">
        <f t="shared" si="2"/>
        <v>46041</v>
      </c>
      <c r="R19" s="17" t="str">
        <f>IF(M19=1,COUNTIFS($Q$2:Q19,Q19,$M$2:M19,1),"")</f>
        <v/>
      </c>
      <c r="S19" s="50" t="str">
        <f t="shared" si="3"/>
        <v/>
      </c>
    </row>
    <row r="20" spans="1:19" ht="45" customHeight="1" x14ac:dyDescent="0.35">
      <c r="A20" s="66">
        <v>46041</v>
      </c>
      <c r="B20" s="67" t="s">
        <v>115</v>
      </c>
      <c r="C20" s="67" t="s">
        <v>116</v>
      </c>
      <c r="D20" s="67" t="s">
        <v>117</v>
      </c>
      <c r="E20" s="67" t="s">
        <v>89</v>
      </c>
      <c r="F20" s="67" t="s">
        <v>85</v>
      </c>
      <c r="G20" s="67" t="s">
        <v>94</v>
      </c>
      <c r="H20" s="67" t="s">
        <v>87</v>
      </c>
      <c r="I20" s="67" t="s">
        <v>50</v>
      </c>
      <c r="J20" s="67" t="s">
        <v>88</v>
      </c>
      <c r="K20" s="67"/>
      <c r="L20" s="68" t="s">
        <v>118</v>
      </c>
      <c r="M20" s="68">
        <f>--AND(Configuración!$B$6&lt;&gt;"",OR(E20="Todas",ISNUMBER(SEARCH(Configuración!$B$7,E20))),IF(L20="Monotributo",Configuración!$B$10="Sí",IF(L20="Autónomos",Configuración!$B$11="Sí",IF(L20="Responsable inscripto",Configuración!$B$12="Sí",IF(L20="Empleador",Configuración!$B$13="Sí",IF(L20="Casas particulares",Configuración!$B$14="Sí",IF(L20="Retenciones",Configuración!$B$15="Sí",IF(L20="Sociedad",Configuración!$B$16="Sí",IF(L20="Persona humana",Configuración!$B$17="Sí",IF(L20="Convenio Multilateral",Configuración!$B$18="Sí",FALSE()))))))))))</f>
        <v>0</v>
      </c>
      <c r="N20" s="68" t="str">
        <f>IF(M20=1,COUNTIF($M$2:M20,1),"")</f>
        <v/>
      </c>
      <c r="O20" s="50">
        <f t="shared" ca="1" si="0"/>
        <v>-212</v>
      </c>
      <c r="P20" s="17" t="str">
        <f t="shared" ca="1" si="1"/>
        <v>Vencido hace 212 días</v>
      </c>
      <c r="Q20" s="50">
        <f t="shared" si="2"/>
        <v>46041</v>
      </c>
      <c r="R20" s="17" t="str">
        <f>IF(M20=1,COUNTIFS($Q$2:Q20,Q20,$M$2:M20,1),"")</f>
        <v/>
      </c>
      <c r="S20" s="50" t="str">
        <f t="shared" si="3"/>
        <v/>
      </c>
    </row>
    <row r="21" spans="1:19" ht="45" customHeight="1" x14ac:dyDescent="0.35">
      <c r="A21" s="66">
        <v>46041</v>
      </c>
      <c r="B21" s="67" t="s">
        <v>119</v>
      </c>
      <c r="C21" s="67" t="s">
        <v>120</v>
      </c>
      <c r="D21" s="67" t="s">
        <v>121</v>
      </c>
      <c r="E21" s="67" t="s">
        <v>84</v>
      </c>
      <c r="F21" s="67" t="s">
        <v>85</v>
      </c>
      <c r="G21" s="67" t="s">
        <v>94</v>
      </c>
      <c r="H21" s="67" t="s">
        <v>87</v>
      </c>
      <c r="I21" s="67" t="s">
        <v>50</v>
      </c>
      <c r="J21" s="67" t="s">
        <v>88</v>
      </c>
      <c r="K21" s="67"/>
      <c r="L21" s="68" t="s">
        <v>118</v>
      </c>
      <c r="M21" s="68">
        <f>--AND(Configuración!$B$6&lt;&gt;"",OR(E21="Todas",ISNUMBER(SEARCH(Configuración!$B$7,E21))),IF(L21="Monotributo",Configuración!$B$10="Sí",IF(L21="Autónomos",Configuración!$B$11="Sí",IF(L21="Responsable inscripto",Configuración!$B$12="Sí",IF(L21="Empleador",Configuración!$B$13="Sí",IF(L21="Casas particulares",Configuración!$B$14="Sí",IF(L21="Retenciones",Configuración!$B$15="Sí",IF(L21="Sociedad",Configuración!$B$16="Sí",IF(L21="Persona humana",Configuración!$B$17="Sí",IF(L21="Convenio Multilateral",Configuración!$B$18="Sí",FALSE()))))))))))</f>
        <v>0</v>
      </c>
      <c r="N21" s="68" t="str">
        <f>IF(M21=1,COUNTIF($M$2:M21,1),"")</f>
        <v/>
      </c>
      <c r="O21" s="50">
        <f t="shared" ca="1" si="0"/>
        <v>-212</v>
      </c>
      <c r="P21" s="17" t="str">
        <f t="shared" ca="1" si="1"/>
        <v>Vencido hace 212 días</v>
      </c>
      <c r="Q21" s="50">
        <f t="shared" si="2"/>
        <v>46041</v>
      </c>
      <c r="R21" s="17" t="str">
        <f>IF(M21=1,COUNTIFS($Q$2:Q21,Q21,$M$2:M21,1),"")</f>
        <v/>
      </c>
      <c r="S21" s="50" t="str">
        <f t="shared" si="3"/>
        <v/>
      </c>
    </row>
    <row r="22" spans="1:19" ht="45" customHeight="1" x14ac:dyDescent="0.35">
      <c r="A22" s="66">
        <v>46041</v>
      </c>
      <c r="B22" s="67" t="s">
        <v>119</v>
      </c>
      <c r="C22" s="67" t="s">
        <v>120</v>
      </c>
      <c r="D22" s="67" t="s">
        <v>121</v>
      </c>
      <c r="E22" s="67" t="s">
        <v>89</v>
      </c>
      <c r="F22" s="67" t="s">
        <v>85</v>
      </c>
      <c r="G22" s="67" t="s">
        <v>94</v>
      </c>
      <c r="H22" s="67" t="s">
        <v>87</v>
      </c>
      <c r="I22" s="67" t="s">
        <v>50</v>
      </c>
      <c r="J22" s="67" t="s">
        <v>88</v>
      </c>
      <c r="K22" s="67"/>
      <c r="L22" s="68" t="s">
        <v>118</v>
      </c>
      <c r="M22" s="68">
        <f>--AND(Configuración!$B$6&lt;&gt;"",OR(E22="Todas",ISNUMBER(SEARCH(Configuración!$B$7,E22))),IF(L22="Monotributo",Configuración!$B$10="Sí",IF(L22="Autónomos",Configuración!$B$11="Sí",IF(L22="Responsable inscripto",Configuración!$B$12="Sí",IF(L22="Empleador",Configuración!$B$13="Sí",IF(L22="Casas particulares",Configuración!$B$14="Sí",IF(L22="Retenciones",Configuración!$B$15="Sí",IF(L22="Sociedad",Configuración!$B$16="Sí",IF(L22="Persona humana",Configuración!$B$17="Sí",IF(L22="Convenio Multilateral",Configuración!$B$18="Sí",FALSE()))))))))))</f>
        <v>0</v>
      </c>
      <c r="N22" s="68" t="str">
        <f>IF(M22=1,COUNTIF($M$2:M22,1),"")</f>
        <v/>
      </c>
      <c r="O22" s="50">
        <f t="shared" ca="1" si="0"/>
        <v>-212</v>
      </c>
      <c r="P22" s="17" t="str">
        <f t="shared" ca="1" si="1"/>
        <v>Vencido hace 212 días</v>
      </c>
      <c r="Q22" s="50">
        <f t="shared" si="2"/>
        <v>46041</v>
      </c>
      <c r="R22" s="17" t="str">
        <f>IF(M22=1,COUNTIFS($Q$2:Q22,Q22,$M$2:M22,1),"")</f>
        <v/>
      </c>
      <c r="S22" s="50" t="str">
        <f t="shared" si="3"/>
        <v/>
      </c>
    </row>
    <row r="23" spans="1:19" ht="45" customHeight="1" x14ac:dyDescent="0.35">
      <c r="A23" s="66">
        <v>46041</v>
      </c>
      <c r="B23" s="67" t="s">
        <v>122</v>
      </c>
      <c r="C23" s="67" t="s">
        <v>123</v>
      </c>
      <c r="D23" s="67" t="s">
        <v>124</v>
      </c>
      <c r="E23" s="67" t="s">
        <v>84</v>
      </c>
      <c r="F23" s="67" t="s">
        <v>85</v>
      </c>
      <c r="G23" s="67" t="s">
        <v>109</v>
      </c>
      <c r="H23" s="67" t="s">
        <v>87</v>
      </c>
      <c r="I23" s="67" t="s">
        <v>50</v>
      </c>
      <c r="J23" s="67" t="s">
        <v>88</v>
      </c>
      <c r="K23" s="67" t="s">
        <v>125</v>
      </c>
      <c r="L23" s="68" t="s">
        <v>118</v>
      </c>
      <c r="M23" s="68">
        <f>--AND(Configuración!$B$6&lt;&gt;"",OR(E23="Todas",ISNUMBER(SEARCH(Configuración!$B$7,E23))),IF(L23="Monotributo",Configuración!$B$10="Sí",IF(L23="Autónomos",Configuración!$B$11="Sí",IF(L23="Responsable inscripto",Configuración!$B$12="Sí",IF(L23="Empleador",Configuración!$B$13="Sí",IF(L23="Casas particulares",Configuración!$B$14="Sí",IF(L23="Retenciones",Configuración!$B$15="Sí",IF(L23="Sociedad",Configuración!$B$16="Sí",IF(L23="Persona humana",Configuración!$B$17="Sí",IF(L23="Convenio Multilateral",Configuración!$B$18="Sí",FALSE()))))))))))</f>
        <v>0</v>
      </c>
      <c r="N23" s="68" t="str">
        <f>IF(M23=1,COUNTIF($M$2:M23,1),"")</f>
        <v/>
      </c>
      <c r="O23" s="50">
        <f t="shared" ca="1" si="0"/>
        <v>-212</v>
      </c>
      <c r="P23" s="17" t="str">
        <f t="shared" ca="1" si="1"/>
        <v>Vencido hace 212 días</v>
      </c>
      <c r="Q23" s="50">
        <f t="shared" si="2"/>
        <v>46041</v>
      </c>
      <c r="R23" s="17" t="str">
        <f>IF(M23=1,COUNTIFS($Q$2:Q23,Q23,$M$2:M23,1),"")</f>
        <v/>
      </c>
      <c r="S23" s="50" t="str">
        <f t="shared" si="3"/>
        <v/>
      </c>
    </row>
    <row r="24" spans="1:19" ht="45" customHeight="1" x14ac:dyDescent="0.35">
      <c r="A24" s="66">
        <v>46041</v>
      </c>
      <c r="B24" s="67" t="s">
        <v>122</v>
      </c>
      <c r="C24" s="67" t="s">
        <v>123</v>
      </c>
      <c r="D24" s="67" t="s">
        <v>124</v>
      </c>
      <c r="E24" s="67" t="s">
        <v>89</v>
      </c>
      <c r="F24" s="67" t="s">
        <v>85</v>
      </c>
      <c r="G24" s="67" t="s">
        <v>109</v>
      </c>
      <c r="H24" s="67" t="s">
        <v>87</v>
      </c>
      <c r="I24" s="67" t="s">
        <v>50</v>
      </c>
      <c r="J24" s="67" t="s">
        <v>88</v>
      </c>
      <c r="K24" s="67" t="s">
        <v>125</v>
      </c>
      <c r="L24" s="68" t="s">
        <v>118</v>
      </c>
      <c r="M24" s="68">
        <f>--AND(Configuración!$B$6&lt;&gt;"",OR(E24="Todas",ISNUMBER(SEARCH(Configuración!$B$7,E24))),IF(L24="Monotributo",Configuración!$B$10="Sí",IF(L24="Autónomos",Configuración!$B$11="Sí",IF(L24="Responsable inscripto",Configuración!$B$12="Sí",IF(L24="Empleador",Configuración!$B$13="Sí",IF(L24="Casas particulares",Configuración!$B$14="Sí",IF(L24="Retenciones",Configuración!$B$15="Sí",IF(L24="Sociedad",Configuración!$B$16="Sí",IF(L24="Persona humana",Configuración!$B$17="Sí",IF(L24="Convenio Multilateral",Configuración!$B$18="Sí",FALSE()))))))))))</f>
        <v>0</v>
      </c>
      <c r="N24" s="68" t="str">
        <f>IF(M24=1,COUNTIF($M$2:M24,1),"")</f>
        <v/>
      </c>
      <c r="O24" s="50">
        <f t="shared" ca="1" si="0"/>
        <v>-212</v>
      </c>
      <c r="P24" s="17" t="str">
        <f t="shared" ca="1" si="1"/>
        <v>Vencido hace 212 días</v>
      </c>
      <c r="Q24" s="50">
        <f t="shared" si="2"/>
        <v>46041</v>
      </c>
      <c r="R24" s="17" t="str">
        <f>IF(M24=1,COUNTIFS($Q$2:Q24,Q24,$M$2:M24,1),"")</f>
        <v/>
      </c>
      <c r="S24" s="50" t="str">
        <f t="shared" si="3"/>
        <v/>
      </c>
    </row>
    <row r="25" spans="1:19" ht="45" customHeight="1" x14ac:dyDescent="0.35">
      <c r="A25" s="66">
        <v>46042</v>
      </c>
      <c r="B25" s="67" t="s">
        <v>115</v>
      </c>
      <c r="C25" s="67" t="s">
        <v>116</v>
      </c>
      <c r="D25" s="67" t="s">
        <v>117</v>
      </c>
      <c r="E25" s="67" t="s">
        <v>90</v>
      </c>
      <c r="F25" s="67" t="s">
        <v>85</v>
      </c>
      <c r="G25" s="67" t="s">
        <v>94</v>
      </c>
      <c r="H25" s="67" t="s">
        <v>87</v>
      </c>
      <c r="I25" s="67" t="s">
        <v>50</v>
      </c>
      <c r="J25" s="67" t="s">
        <v>88</v>
      </c>
      <c r="K25" s="67"/>
      <c r="L25" s="68" t="s">
        <v>118</v>
      </c>
      <c r="M25" s="68">
        <f>--AND(Configuración!$B$6&lt;&gt;"",OR(E25="Todas",ISNUMBER(SEARCH(Configuración!$B$7,E25))),IF(L25="Monotributo",Configuración!$B$10="Sí",IF(L25="Autónomos",Configuración!$B$11="Sí",IF(L25="Responsable inscripto",Configuración!$B$12="Sí",IF(L25="Empleador",Configuración!$B$13="Sí",IF(L25="Casas particulares",Configuración!$B$14="Sí",IF(L25="Retenciones",Configuración!$B$15="Sí",IF(L25="Sociedad",Configuración!$B$16="Sí",IF(L25="Persona humana",Configuración!$B$17="Sí",IF(L25="Convenio Multilateral",Configuración!$B$18="Sí",FALSE()))))))))))</f>
        <v>0</v>
      </c>
      <c r="N25" s="68" t="str">
        <f>IF(M25=1,COUNTIF($M$2:M25,1),"")</f>
        <v/>
      </c>
      <c r="O25" s="50">
        <f t="shared" ca="1" si="0"/>
        <v>-211</v>
      </c>
      <c r="P25" s="17" t="str">
        <f t="shared" ca="1" si="1"/>
        <v>Vencido hace 211 días</v>
      </c>
      <c r="Q25" s="50">
        <f t="shared" si="2"/>
        <v>46042</v>
      </c>
      <c r="R25" s="17" t="str">
        <f>IF(M25=1,COUNTIFS($Q$2:Q25,Q25,$M$2:M25,1),"")</f>
        <v/>
      </c>
      <c r="S25" s="50" t="str">
        <f t="shared" si="3"/>
        <v/>
      </c>
    </row>
    <row r="26" spans="1:19" ht="45" customHeight="1" x14ac:dyDescent="0.35">
      <c r="A26" s="66">
        <v>46042</v>
      </c>
      <c r="B26" s="67" t="s">
        <v>119</v>
      </c>
      <c r="C26" s="67" t="s">
        <v>120</v>
      </c>
      <c r="D26" s="67" t="s">
        <v>121</v>
      </c>
      <c r="E26" s="67" t="s">
        <v>90</v>
      </c>
      <c r="F26" s="67" t="s">
        <v>85</v>
      </c>
      <c r="G26" s="67" t="s">
        <v>94</v>
      </c>
      <c r="H26" s="67" t="s">
        <v>87</v>
      </c>
      <c r="I26" s="67" t="s">
        <v>50</v>
      </c>
      <c r="J26" s="67" t="s">
        <v>88</v>
      </c>
      <c r="K26" s="67"/>
      <c r="L26" s="68" t="s">
        <v>118</v>
      </c>
      <c r="M26" s="68">
        <f>--AND(Configuración!$B$6&lt;&gt;"",OR(E26="Todas",ISNUMBER(SEARCH(Configuración!$B$7,E26))),IF(L26="Monotributo",Configuración!$B$10="Sí",IF(L26="Autónomos",Configuración!$B$11="Sí",IF(L26="Responsable inscripto",Configuración!$B$12="Sí",IF(L26="Empleador",Configuración!$B$13="Sí",IF(L26="Casas particulares",Configuración!$B$14="Sí",IF(L26="Retenciones",Configuración!$B$15="Sí",IF(L26="Sociedad",Configuración!$B$16="Sí",IF(L26="Persona humana",Configuración!$B$17="Sí",IF(L26="Convenio Multilateral",Configuración!$B$18="Sí",FALSE()))))))))))</f>
        <v>0</v>
      </c>
      <c r="N26" s="68" t="str">
        <f>IF(M26=1,COUNTIF($M$2:M26,1),"")</f>
        <v/>
      </c>
      <c r="O26" s="50">
        <f t="shared" ca="1" si="0"/>
        <v>-211</v>
      </c>
      <c r="P26" s="17" t="str">
        <f t="shared" ca="1" si="1"/>
        <v>Vencido hace 211 días</v>
      </c>
      <c r="Q26" s="50">
        <f t="shared" si="2"/>
        <v>46042</v>
      </c>
      <c r="R26" s="17" t="str">
        <f>IF(M26=1,COUNTIFS($Q$2:Q26,Q26,$M$2:M26,1),"")</f>
        <v/>
      </c>
      <c r="S26" s="50" t="str">
        <f t="shared" si="3"/>
        <v/>
      </c>
    </row>
    <row r="27" spans="1:19" ht="45" customHeight="1" x14ac:dyDescent="0.35">
      <c r="A27" s="66">
        <v>46042</v>
      </c>
      <c r="B27" s="67" t="s">
        <v>122</v>
      </c>
      <c r="C27" s="67" t="s">
        <v>123</v>
      </c>
      <c r="D27" s="67" t="s">
        <v>124</v>
      </c>
      <c r="E27" s="67" t="s">
        <v>90</v>
      </c>
      <c r="F27" s="67" t="s">
        <v>85</v>
      </c>
      <c r="G27" s="67" t="s">
        <v>109</v>
      </c>
      <c r="H27" s="67" t="s">
        <v>87</v>
      </c>
      <c r="I27" s="67" t="s">
        <v>50</v>
      </c>
      <c r="J27" s="67" t="s">
        <v>88</v>
      </c>
      <c r="K27" s="67" t="s">
        <v>125</v>
      </c>
      <c r="L27" s="68" t="s">
        <v>118</v>
      </c>
      <c r="M27" s="68">
        <f>--AND(Configuración!$B$6&lt;&gt;"",OR(E27="Todas",ISNUMBER(SEARCH(Configuración!$B$7,E27))),IF(L27="Monotributo",Configuración!$B$10="Sí",IF(L27="Autónomos",Configuración!$B$11="Sí",IF(L27="Responsable inscripto",Configuración!$B$12="Sí",IF(L27="Empleador",Configuración!$B$13="Sí",IF(L27="Casas particulares",Configuración!$B$14="Sí",IF(L27="Retenciones",Configuración!$B$15="Sí",IF(L27="Sociedad",Configuración!$B$16="Sí",IF(L27="Persona humana",Configuración!$B$17="Sí",IF(L27="Convenio Multilateral",Configuración!$B$18="Sí",FALSE()))))))))))</f>
        <v>0</v>
      </c>
      <c r="N27" s="68" t="str">
        <f>IF(M27=1,COUNTIF($M$2:M27,1),"")</f>
        <v/>
      </c>
      <c r="O27" s="50">
        <f t="shared" ca="1" si="0"/>
        <v>-211</v>
      </c>
      <c r="P27" s="17" t="str">
        <f t="shared" ca="1" si="1"/>
        <v>Vencido hace 211 días</v>
      </c>
      <c r="Q27" s="50">
        <f t="shared" si="2"/>
        <v>46042</v>
      </c>
      <c r="R27" s="17" t="str">
        <f>IF(M27=1,COUNTIFS($Q$2:Q27,Q27,$M$2:M27,1),"")</f>
        <v/>
      </c>
      <c r="S27" s="50" t="str">
        <f t="shared" si="3"/>
        <v/>
      </c>
    </row>
    <row r="28" spans="1:19" ht="30" customHeight="1" x14ac:dyDescent="0.35">
      <c r="A28" s="66">
        <v>46042</v>
      </c>
      <c r="B28" s="67" t="s">
        <v>24</v>
      </c>
      <c r="C28" s="67" t="s">
        <v>126</v>
      </c>
      <c r="D28" s="67" t="s">
        <v>127</v>
      </c>
      <c r="E28" s="67" t="s">
        <v>104</v>
      </c>
      <c r="F28" s="67" t="s">
        <v>128</v>
      </c>
      <c r="G28" s="67" t="s">
        <v>86</v>
      </c>
      <c r="H28" s="67" t="s">
        <v>87</v>
      </c>
      <c r="I28" s="67" t="s">
        <v>50</v>
      </c>
      <c r="J28" s="67" t="s">
        <v>129</v>
      </c>
      <c r="K28" s="67" t="s">
        <v>130</v>
      </c>
      <c r="L28" s="68" t="s">
        <v>24</v>
      </c>
      <c r="M28" s="68">
        <f>--AND(Configuración!$B$6&lt;&gt;"",OR(E28="Todas",ISNUMBER(SEARCH(Configuración!$B$7,E28))),IF(L28="Monotributo",Configuración!$B$10="Sí",IF(L28="Autónomos",Configuración!$B$11="Sí",IF(L28="Responsable inscripto",Configuración!$B$12="Sí",IF(L28="Empleador",Configuración!$B$13="Sí",IF(L28="Casas particulares",Configuración!$B$14="Sí",IF(L28="Retenciones",Configuración!$B$15="Sí",IF(L28="Sociedad",Configuración!$B$16="Sí",IF(L28="Persona humana",Configuración!$B$17="Sí",IF(L28="Convenio Multilateral",Configuración!$B$18="Sí",FALSE()))))))))))</f>
        <v>0</v>
      </c>
      <c r="N28" s="68" t="str">
        <f>IF(M28=1,COUNTIF($M$2:M28,1),"")</f>
        <v/>
      </c>
      <c r="O28" s="50">
        <f t="shared" ca="1" si="0"/>
        <v>-211</v>
      </c>
      <c r="P28" s="17" t="str">
        <f t="shared" ca="1" si="1"/>
        <v>Vencido hace 211 días</v>
      </c>
      <c r="Q28" s="50">
        <f t="shared" si="2"/>
        <v>46042</v>
      </c>
      <c r="R28" s="17" t="str">
        <f>IF(M28=1,COUNTIFS($Q$2:Q28,Q28,$M$2:M28,1),"")</f>
        <v/>
      </c>
      <c r="S28" s="50" t="str">
        <f t="shared" si="3"/>
        <v/>
      </c>
    </row>
    <row r="29" spans="1:19" ht="45" customHeight="1" x14ac:dyDescent="0.35">
      <c r="A29" s="66">
        <v>46056</v>
      </c>
      <c r="B29" s="67" t="s">
        <v>26</v>
      </c>
      <c r="C29" s="67" t="s">
        <v>82</v>
      </c>
      <c r="D29" s="67" t="s">
        <v>83</v>
      </c>
      <c r="E29" s="67" t="s">
        <v>84</v>
      </c>
      <c r="F29" s="67" t="s">
        <v>128</v>
      </c>
      <c r="G29" s="67" t="s">
        <v>86</v>
      </c>
      <c r="H29" s="67" t="s">
        <v>87</v>
      </c>
      <c r="I29" s="67" t="s">
        <v>50</v>
      </c>
      <c r="J29" s="67" t="s">
        <v>88</v>
      </c>
      <c r="K29" s="67"/>
      <c r="L29" s="68" t="s">
        <v>26</v>
      </c>
      <c r="M29" s="68">
        <f>--AND(Configuración!$B$6&lt;&gt;"",OR(E29="Todas",ISNUMBER(SEARCH(Configuración!$B$7,E29))),IF(L29="Monotributo",Configuración!$B$10="Sí",IF(L29="Autónomos",Configuración!$B$11="Sí",IF(L29="Responsable inscripto",Configuración!$B$12="Sí",IF(L29="Empleador",Configuración!$B$13="Sí",IF(L29="Casas particulares",Configuración!$B$14="Sí",IF(L29="Retenciones",Configuración!$B$15="Sí",IF(L29="Sociedad",Configuración!$B$16="Sí",IF(L29="Persona humana",Configuración!$B$17="Sí",IF(L29="Convenio Multilateral",Configuración!$B$18="Sí",FALSE()))))))))))</f>
        <v>0</v>
      </c>
      <c r="N29" s="68" t="str">
        <f>IF(M29=1,COUNTIF($M$2:M29,1),"")</f>
        <v/>
      </c>
      <c r="O29" s="50">
        <f t="shared" ca="1" si="0"/>
        <v>-197</v>
      </c>
      <c r="P29" s="17" t="str">
        <f t="shared" ca="1" si="1"/>
        <v>Vencido hace 197 días</v>
      </c>
      <c r="Q29" s="50">
        <f t="shared" si="2"/>
        <v>46056</v>
      </c>
      <c r="R29" s="17" t="str">
        <f>IF(M29=1,COUNTIFS($Q$2:Q29,Q29,$M$2:M29,1),"")</f>
        <v/>
      </c>
      <c r="S29" s="50" t="str">
        <f t="shared" si="3"/>
        <v/>
      </c>
    </row>
    <row r="30" spans="1:19" ht="45" customHeight="1" x14ac:dyDescent="0.35">
      <c r="A30" s="66">
        <v>46057</v>
      </c>
      <c r="B30" s="67" t="s">
        <v>26</v>
      </c>
      <c r="C30" s="67" t="s">
        <v>82</v>
      </c>
      <c r="D30" s="67" t="s">
        <v>83</v>
      </c>
      <c r="E30" s="67" t="s">
        <v>89</v>
      </c>
      <c r="F30" s="67" t="s">
        <v>128</v>
      </c>
      <c r="G30" s="67" t="s">
        <v>86</v>
      </c>
      <c r="H30" s="67" t="s">
        <v>87</v>
      </c>
      <c r="I30" s="67" t="s">
        <v>50</v>
      </c>
      <c r="J30" s="67" t="s">
        <v>88</v>
      </c>
      <c r="K30" s="67"/>
      <c r="L30" s="68" t="s">
        <v>26</v>
      </c>
      <c r="M30" s="68">
        <f>--AND(Configuración!$B$6&lt;&gt;"",OR(E30="Todas",ISNUMBER(SEARCH(Configuración!$B$7,E30))),IF(L30="Monotributo",Configuración!$B$10="Sí",IF(L30="Autónomos",Configuración!$B$11="Sí",IF(L30="Responsable inscripto",Configuración!$B$12="Sí",IF(L30="Empleador",Configuración!$B$13="Sí",IF(L30="Casas particulares",Configuración!$B$14="Sí",IF(L30="Retenciones",Configuración!$B$15="Sí",IF(L30="Sociedad",Configuración!$B$16="Sí",IF(L30="Persona humana",Configuración!$B$17="Sí",IF(L30="Convenio Multilateral",Configuración!$B$18="Sí",FALSE()))))))))))</f>
        <v>0</v>
      </c>
      <c r="N30" s="68" t="str">
        <f>IF(M30=1,COUNTIF($M$2:M30,1),"")</f>
        <v/>
      </c>
      <c r="O30" s="50">
        <f t="shared" ca="1" si="0"/>
        <v>-196</v>
      </c>
      <c r="P30" s="17" t="str">
        <f t="shared" ca="1" si="1"/>
        <v>Vencido hace 196 días</v>
      </c>
      <c r="Q30" s="50">
        <f t="shared" si="2"/>
        <v>46057</v>
      </c>
      <c r="R30" s="17" t="str">
        <f>IF(M30=1,COUNTIFS($Q$2:Q30,Q30,$M$2:M30,1),"")</f>
        <v/>
      </c>
      <c r="S30" s="50" t="str">
        <f t="shared" si="3"/>
        <v/>
      </c>
    </row>
    <row r="31" spans="1:19" ht="45" customHeight="1" x14ac:dyDescent="0.35">
      <c r="A31" s="66">
        <v>46057</v>
      </c>
      <c r="B31" s="67" t="s">
        <v>91</v>
      </c>
      <c r="C31" s="67" t="s">
        <v>92</v>
      </c>
      <c r="D31" s="67" t="s">
        <v>93</v>
      </c>
      <c r="E31" s="67" t="s">
        <v>84</v>
      </c>
      <c r="F31" s="67" t="s">
        <v>128</v>
      </c>
      <c r="G31" s="67" t="s">
        <v>94</v>
      </c>
      <c r="H31" s="67" t="s">
        <v>87</v>
      </c>
      <c r="I31" s="67" t="s">
        <v>50</v>
      </c>
      <c r="J31" s="67" t="s">
        <v>88</v>
      </c>
      <c r="K31" s="67"/>
      <c r="L31" s="68" t="s">
        <v>95</v>
      </c>
      <c r="M31" s="68">
        <f>--AND(Configuración!$B$6&lt;&gt;"",OR(E31="Todas",ISNUMBER(SEARCH(Configuración!$B$7,E31))),IF(L31="Monotributo",Configuración!$B$10="Sí",IF(L31="Autónomos",Configuración!$B$11="Sí",IF(L31="Responsable inscripto",Configuración!$B$12="Sí",IF(L31="Empleador",Configuración!$B$13="Sí",IF(L31="Casas particulares",Configuración!$B$14="Sí",IF(L31="Retenciones",Configuración!$B$15="Sí",IF(L31="Sociedad",Configuración!$B$16="Sí",IF(L31="Persona humana",Configuración!$B$17="Sí",IF(L31="Convenio Multilateral",Configuración!$B$18="Sí",FALSE()))))))))))</f>
        <v>0</v>
      </c>
      <c r="N31" s="68" t="str">
        <f>IF(M31=1,COUNTIF($M$2:M31,1),"")</f>
        <v/>
      </c>
      <c r="O31" s="50">
        <f t="shared" ca="1" si="0"/>
        <v>-196</v>
      </c>
      <c r="P31" s="17" t="str">
        <f t="shared" ca="1" si="1"/>
        <v>Vencido hace 196 días</v>
      </c>
      <c r="Q31" s="50">
        <f t="shared" si="2"/>
        <v>46057</v>
      </c>
      <c r="R31" s="17" t="str">
        <f>IF(M31=1,COUNTIFS($Q$2:Q31,Q31,$M$2:M31,1),"")</f>
        <v/>
      </c>
      <c r="S31" s="50" t="str">
        <f t="shared" si="3"/>
        <v/>
      </c>
    </row>
    <row r="32" spans="1:19" ht="45" customHeight="1" x14ac:dyDescent="0.35">
      <c r="A32" s="66">
        <v>46058</v>
      </c>
      <c r="B32" s="67" t="s">
        <v>26</v>
      </c>
      <c r="C32" s="67" t="s">
        <v>82</v>
      </c>
      <c r="D32" s="67" t="s">
        <v>83</v>
      </c>
      <c r="E32" s="67" t="s">
        <v>90</v>
      </c>
      <c r="F32" s="67" t="s">
        <v>128</v>
      </c>
      <c r="G32" s="67" t="s">
        <v>86</v>
      </c>
      <c r="H32" s="67" t="s">
        <v>87</v>
      </c>
      <c r="I32" s="67" t="s">
        <v>50</v>
      </c>
      <c r="J32" s="67" t="s">
        <v>88</v>
      </c>
      <c r="K32" s="67"/>
      <c r="L32" s="68" t="s">
        <v>26</v>
      </c>
      <c r="M32" s="68">
        <f>--AND(Configuración!$B$6&lt;&gt;"",OR(E32="Todas",ISNUMBER(SEARCH(Configuración!$B$7,E32))),IF(L32="Monotributo",Configuración!$B$10="Sí",IF(L32="Autónomos",Configuración!$B$11="Sí",IF(L32="Responsable inscripto",Configuración!$B$12="Sí",IF(L32="Empleador",Configuración!$B$13="Sí",IF(L32="Casas particulares",Configuración!$B$14="Sí",IF(L32="Retenciones",Configuración!$B$15="Sí",IF(L32="Sociedad",Configuración!$B$16="Sí",IF(L32="Persona humana",Configuración!$B$17="Sí",IF(L32="Convenio Multilateral",Configuración!$B$18="Sí",FALSE()))))))))))</f>
        <v>0</v>
      </c>
      <c r="N32" s="68" t="str">
        <f>IF(M32=1,COUNTIF($M$2:M32,1),"")</f>
        <v/>
      </c>
      <c r="O32" s="50">
        <f t="shared" ca="1" si="0"/>
        <v>-195</v>
      </c>
      <c r="P32" s="17" t="str">
        <f t="shared" ca="1" si="1"/>
        <v>Vencido hace 195 días</v>
      </c>
      <c r="Q32" s="50">
        <f t="shared" si="2"/>
        <v>46058</v>
      </c>
      <c r="R32" s="17" t="str">
        <f>IF(M32=1,COUNTIFS($Q$2:Q32,Q32,$M$2:M32,1),"")</f>
        <v/>
      </c>
      <c r="S32" s="50" t="str">
        <f t="shared" si="3"/>
        <v/>
      </c>
    </row>
    <row r="33" spans="1:19" ht="30" customHeight="1" x14ac:dyDescent="0.35">
      <c r="A33" s="66">
        <v>46058</v>
      </c>
      <c r="B33" s="67" t="s">
        <v>24</v>
      </c>
      <c r="C33" s="67" t="s">
        <v>131</v>
      </c>
      <c r="D33" s="67" t="s">
        <v>127</v>
      </c>
      <c r="E33" s="67" t="s">
        <v>104</v>
      </c>
      <c r="F33" s="67" t="s">
        <v>132</v>
      </c>
      <c r="G33" s="67" t="s">
        <v>133</v>
      </c>
      <c r="H33" s="67" t="s">
        <v>87</v>
      </c>
      <c r="I33" s="67" t="s">
        <v>50</v>
      </c>
      <c r="J33" s="67" t="s">
        <v>134</v>
      </c>
      <c r="K33" s="67"/>
      <c r="L33" s="68" t="s">
        <v>24</v>
      </c>
      <c r="M33" s="68">
        <f>--AND(Configuración!$B$6&lt;&gt;"",OR(E33="Todas",ISNUMBER(SEARCH(Configuración!$B$7,E33))),IF(L33="Monotributo",Configuración!$B$10="Sí",IF(L33="Autónomos",Configuración!$B$11="Sí",IF(L33="Responsable inscripto",Configuración!$B$12="Sí",IF(L33="Empleador",Configuración!$B$13="Sí",IF(L33="Casas particulares",Configuración!$B$14="Sí",IF(L33="Retenciones",Configuración!$B$15="Sí",IF(L33="Sociedad",Configuración!$B$16="Sí",IF(L33="Persona humana",Configuración!$B$17="Sí",IF(L33="Convenio Multilateral",Configuración!$B$18="Sí",FALSE()))))))))))</f>
        <v>0</v>
      </c>
      <c r="N33" s="68" t="str">
        <f>IF(M33=1,COUNTIF($M$2:M33,1),"")</f>
        <v/>
      </c>
      <c r="O33" s="50">
        <f t="shared" ca="1" si="0"/>
        <v>-195</v>
      </c>
      <c r="P33" s="17" t="str">
        <f t="shared" ca="1" si="1"/>
        <v>Vencido hace 195 días</v>
      </c>
      <c r="Q33" s="50">
        <f t="shared" si="2"/>
        <v>46058</v>
      </c>
      <c r="R33" s="17" t="str">
        <f>IF(M33=1,COUNTIFS($Q$2:Q33,Q33,$M$2:M33,1),"")</f>
        <v/>
      </c>
      <c r="S33" s="50" t="str">
        <f t="shared" si="3"/>
        <v/>
      </c>
    </row>
    <row r="34" spans="1:19" ht="45" customHeight="1" x14ac:dyDescent="0.35">
      <c r="A34" s="66">
        <v>46058</v>
      </c>
      <c r="B34" s="67" t="s">
        <v>91</v>
      </c>
      <c r="C34" s="67" t="s">
        <v>92</v>
      </c>
      <c r="D34" s="67" t="s">
        <v>93</v>
      </c>
      <c r="E34" s="67" t="s">
        <v>89</v>
      </c>
      <c r="F34" s="67" t="s">
        <v>128</v>
      </c>
      <c r="G34" s="67" t="s">
        <v>94</v>
      </c>
      <c r="H34" s="67" t="s">
        <v>87</v>
      </c>
      <c r="I34" s="67" t="s">
        <v>50</v>
      </c>
      <c r="J34" s="67" t="s">
        <v>88</v>
      </c>
      <c r="K34" s="67"/>
      <c r="L34" s="68" t="s">
        <v>95</v>
      </c>
      <c r="M34" s="68">
        <f>--AND(Configuración!$B$6&lt;&gt;"",OR(E34="Todas",ISNUMBER(SEARCH(Configuración!$B$7,E34))),IF(L34="Monotributo",Configuración!$B$10="Sí",IF(L34="Autónomos",Configuración!$B$11="Sí",IF(L34="Responsable inscripto",Configuración!$B$12="Sí",IF(L34="Empleador",Configuración!$B$13="Sí",IF(L34="Casas particulares",Configuración!$B$14="Sí",IF(L34="Retenciones",Configuración!$B$15="Sí",IF(L34="Sociedad",Configuración!$B$16="Sí",IF(L34="Persona humana",Configuración!$B$17="Sí",IF(L34="Convenio Multilateral",Configuración!$B$18="Sí",FALSE()))))))))))</f>
        <v>0</v>
      </c>
      <c r="N34" s="68" t="str">
        <f>IF(M34=1,COUNTIF($M$2:M34,1),"")</f>
        <v/>
      </c>
      <c r="O34" s="50">
        <f t="shared" ca="1" si="0"/>
        <v>-195</v>
      </c>
      <c r="P34" s="17" t="str">
        <f t="shared" ca="1" si="1"/>
        <v>Vencido hace 195 días</v>
      </c>
      <c r="Q34" s="50">
        <f t="shared" si="2"/>
        <v>46058</v>
      </c>
      <c r="R34" s="17" t="str">
        <f>IF(M34=1,COUNTIFS($Q$2:Q34,Q34,$M$2:M34,1),"")</f>
        <v/>
      </c>
      <c r="S34" s="50" t="str">
        <f t="shared" si="3"/>
        <v/>
      </c>
    </row>
    <row r="35" spans="1:19" ht="45" customHeight="1" x14ac:dyDescent="0.35">
      <c r="A35" s="66">
        <v>46059</v>
      </c>
      <c r="B35" s="67" t="s">
        <v>91</v>
      </c>
      <c r="C35" s="67" t="s">
        <v>92</v>
      </c>
      <c r="D35" s="67" t="s">
        <v>93</v>
      </c>
      <c r="E35" s="67" t="s">
        <v>90</v>
      </c>
      <c r="F35" s="67" t="s">
        <v>128</v>
      </c>
      <c r="G35" s="67" t="s">
        <v>94</v>
      </c>
      <c r="H35" s="67" t="s">
        <v>87</v>
      </c>
      <c r="I35" s="67" t="s">
        <v>50</v>
      </c>
      <c r="J35" s="67" t="s">
        <v>88</v>
      </c>
      <c r="K35" s="67"/>
      <c r="L35" s="68" t="s">
        <v>95</v>
      </c>
      <c r="M35" s="68">
        <f>--AND(Configuración!$B$6&lt;&gt;"",OR(E35="Todas",ISNUMBER(SEARCH(Configuración!$B$7,E35))),IF(L35="Monotributo",Configuración!$B$10="Sí",IF(L35="Autónomos",Configuración!$B$11="Sí",IF(L35="Responsable inscripto",Configuración!$B$12="Sí",IF(L35="Empleador",Configuración!$B$13="Sí",IF(L35="Casas particulares",Configuración!$B$14="Sí",IF(L35="Retenciones",Configuración!$B$15="Sí",IF(L35="Sociedad",Configuración!$B$16="Sí",IF(L35="Persona humana",Configuración!$B$17="Sí",IF(L35="Convenio Multilateral",Configuración!$B$18="Sí",FALSE()))))))))))</f>
        <v>0</v>
      </c>
      <c r="N35" s="68" t="str">
        <f>IF(M35=1,COUNTIF($M$2:M35,1),"")</f>
        <v/>
      </c>
      <c r="O35" s="50">
        <f t="shared" ca="1" si="0"/>
        <v>-194</v>
      </c>
      <c r="P35" s="17" t="str">
        <f t="shared" ca="1" si="1"/>
        <v>Vencido hace 194 días</v>
      </c>
      <c r="Q35" s="50">
        <f t="shared" si="2"/>
        <v>46059</v>
      </c>
      <c r="R35" s="17" t="str">
        <f>IF(M35=1,COUNTIFS($Q$2:Q35,Q35,$M$2:M35,1),"")</f>
        <v/>
      </c>
      <c r="S35" s="50" t="str">
        <f t="shared" si="3"/>
        <v/>
      </c>
    </row>
    <row r="36" spans="1:19" ht="45" customHeight="1" x14ac:dyDescent="0.35">
      <c r="A36" s="66">
        <v>46062</v>
      </c>
      <c r="B36" s="67" t="s">
        <v>96</v>
      </c>
      <c r="C36" s="67" t="s">
        <v>97</v>
      </c>
      <c r="D36" s="67" t="s">
        <v>98</v>
      </c>
      <c r="E36" s="67" t="s">
        <v>84</v>
      </c>
      <c r="F36" s="67" t="s">
        <v>128</v>
      </c>
      <c r="G36" s="67" t="s">
        <v>94</v>
      </c>
      <c r="H36" s="67" t="s">
        <v>87</v>
      </c>
      <c r="I36" s="67" t="s">
        <v>50</v>
      </c>
      <c r="J36" s="67" t="s">
        <v>88</v>
      </c>
      <c r="K36" s="67"/>
      <c r="L36" s="68" t="s">
        <v>99</v>
      </c>
      <c r="M36" s="68">
        <f>--AND(Configuración!$B$6&lt;&gt;"",OR(E36="Todas",ISNUMBER(SEARCH(Configuración!$B$7,E36))),IF(L36="Monotributo",Configuración!$B$10="Sí",IF(L36="Autónomos",Configuración!$B$11="Sí",IF(L36="Responsable inscripto",Configuración!$B$12="Sí",IF(L36="Empleador",Configuración!$B$13="Sí",IF(L36="Casas particulares",Configuración!$B$14="Sí",IF(L36="Retenciones",Configuración!$B$15="Sí",IF(L36="Sociedad",Configuración!$B$16="Sí",IF(L36="Persona humana",Configuración!$B$17="Sí",IF(L36="Convenio Multilateral",Configuración!$B$18="Sí",FALSE()))))))))))</f>
        <v>0</v>
      </c>
      <c r="N36" s="68" t="str">
        <f>IF(M36=1,COUNTIF($M$2:M36,1),"")</f>
        <v/>
      </c>
      <c r="O36" s="50">
        <f t="shared" ca="1" si="0"/>
        <v>-191</v>
      </c>
      <c r="P36" s="17" t="str">
        <f t="shared" ca="1" si="1"/>
        <v>Vencido hace 191 días</v>
      </c>
      <c r="Q36" s="50">
        <f t="shared" si="2"/>
        <v>46062</v>
      </c>
      <c r="R36" s="17" t="str">
        <f>IF(M36=1,COUNTIFS($Q$2:Q36,Q36,$M$2:M36,1),"")</f>
        <v/>
      </c>
      <c r="S36" s="50" t="str">
        <f t="shared" si="3"/>
        <v/>
      </c>
    </row>
    <row r="37" spans="1:19" ht="45" customHeight="1" x14ac:dyDescent="0.35">
      <c r="A37" s="66">
        <v>46062</v>
      </c>
      <c r="B37" s="67" t="s">
        <v>96</v>
      </c>
      <c r="C37" s="67" t="s">
        <v>97</v>
      </c>
      <c r="D37" s="67" t="s">
        <v>98</v>
      </c>
      <c r="E37" s="67" t="s">
        <v>89</v>
      </c>
      <c r="F37" s="67" t="s">
        <v>128</v>
      </c>
      <c r="G37" s="67" t="s">
        <v>94</v>
      </c>
      <c r="H37" s="67" t="s">
        <v>87</v>
      </c>
      <c r="I37" s="67" t="s">
        <v>50</v>
      </c>
      <c r="J37" s="67" t="s">
        <v>88</v>
      </c>
      <c r="K37" s="67"/>
      <c r="L37" s="68" t="s">
        <v>99</v>
      </c>
      <c r="M37" s="68">
        <f>--AND(Configuración!$B$6&lt;&gt;"",OR(E37="Todas",ISNUMBER(SEARCH(Configuración!$B$7,E37))),IF(L37="Monotributo",Configuración!$B$10="Sí",IF(L37="Autónomos",Configuración!$B$11="Sí",IF(L37="Responsable inscripto",Configuración!$B$12="Sí",IF(L37="Empleador",Configuración!$B$13="Sí",IF(L37="Casas particulares",Configuración!$B$14="Sí",IF(L37="Retenciones",Configuración!$B$15="Sí",IF(L37="Sociedad",Configuración!$B$16="Sí",IF(L37="Persona humana",Configuración!$B$17="Sí",IF(L37="Convenio Multilateral",Configuración!$B$18="Sí",FALSE()))))))))))</f>
        <v>0</v>
      </c>
      <c r="N37" s="68" t="str">
        <f>IF(M37=1,COUNTIF($M$2:M37,1),"")</f>
        <v/>
      </c>
      <c r="O37" s="50">
        <f t="shared" ca="1" si="0"/>
        <v>-191</v>
      </c>
      <c r="P37" s="17" t="str">
        <f t="shared" ca="1" si="1"/>
        <v>Vencido hace 191 días</v>
      </c>
      <c r="Q37" s="50">
        <f t="shared" si="2"/>
        <v>46062</v>
      </c>
      <c r="R37" s="17" t="str">
        <f>IF(M37=1,COUNTIFS($Q$2:Q37,Q37,$M$2:M37,1),"")</f>
        <v/>
      </c>
      <c r="S37" s="50" t="str">
        <f t="shared" si="3"/>
        <v/>
      </c>
    </row>
    <row r="38" spans="1:19" ht="45" customHeight="1" x14ac:dyDescent="0.35">
      <c r="A38" s="66">
        <v>46062</v>
      </c>
      <c r="B38" s="67" t="s">
        <v>96</v>
      </c>
      <c r="C38" s="67" t="s">
        <v>97</v>
      </c>
      <c r="D38" s="67" t="s">
        <v>98</v>
      </c>
      <c r="E38" s="67" t="s">
        <v>90</v>
      </c>
      <c r="F38" s="67" t="s">
        <v>128</v>
      </c>
      <c r="G38" s="67" t="s">
        <v>94</v>
      </c>
      <c r="H38" s="67" t="s">
        <v>87</v>
      </c>
      <c r="I38" s="67" t="s">
        <v>50</v>
      </c>
      <c r="J38" s="67" t="s">
        <v>88</v>
      </c>
      <c r="K38" s="67"/>
      <c r="L38" s="68" t="s">
        <v>99</v>
      </c>
      <c r="M38" s="68">
        <f>--AND(Configuración!$B$6&lt;&gt;"",OR(E38="Todas",ISNUMBER(SEARCH(Configuración!$B$7,E38))),IF(L38="Monotributo",Configuración!$B$10="Sí",IF(L38="Autónomos",Configuración!$B$11="Sí",IF(L38="Responsable inscripto",Configuración!$B$12="Sí",IF(L38="Empleador",Configuración!$B$13="Sí",IF(L38="Casas particulares",Configuración!$B$14="Sí",IF(L38="Retenciones",Configuración!$B$15="Sí",IF(L38="Sociedad",Configuración!$B$16="Sí",IF(L38="Persona humana",Configuración!$B$17="Sí",IF(L38="Convenio Multilateral",Configuración!$B$18="Sí",FALSE()))))))))))</f>
        <v>0</v>
      </c>
      <c r="N38" s="68" t="str">
        <f>IF(M38=1,COUNTIF($M$2:M38,1),"")</f>
        <v/>
      </c>
      <c r="O38" s="50">
        <f t="shared" ca="1" si="0"/>
        <v>-191</v>
      </c>
      <c r="P38" s="17" t="str">
        <f t="shared" ca="1" si="1"/>
        <v>Vencido hace 191 días</v>
      </c>
      <c r="Q38" s="50">
        <f t="shared" si="2"/>
        <v>46062</v>
      </c>
      <c r="R38" s="17" t="str">
        <f>IF(M38=1,COUNTIFS($Q$2:Q38,Q38,$M$2:M38,1),"")</f>
        <v/>
      </c>
      <c r="S38" s="50" t="str">
        <f t="shared" si="3"/>
        <v/>
      </c>
    </row>
    <row r="39" spans="1:19" ht="45" customHeight="1" x14ac:dyDescent="0.35">
      <c r="A39" s="66">
        <v>46062</v>
      </c>
      <c r="B39" s="67" t="s">
        <v>100</v>
      </c>
      <c r="C39" s="67" t="s">
        <v>101</v>
      </c>
      <c r="D39" s="67" t="s">
        <v>93</v>
      </c>
      <c r="E39" s="67" t="s">
        <v>84</v>
      </c>
      <c r="F39" s="67" t="s">
        <v>128</v>
      </c>
      <c r="G39" s="67" t="s">
        <v>94</v>
      </c>
      <c r="H39" s="67" t="s">
        <v>87</v>
      </c>
      <c r="I39" s="67" t="s">
        <v>50</v>
      </c>
      <c r="J39" s="67" t="s">
        <v>88</v>
      </c>
      <c r="K39" s="67"/>
      <c r="L39" s="68" t="s">
        <v>95</v>
      </c>
      <c r="M39" s="68">
        <f>--AND(Configuración!$B$6&lt;&gt;"",OR(E39="Todas",ISNUMBER(SEARCH(Configuración!$B$7,E39))),IF(L39="Monotributo",Configuración!$B$10="Sí",IF(L39="Autónomos",Configuración!$B$11="Sí",IF(L39="Responsable inscripto",Configuración!$B$12="Sí",IF(L39="Empleador",Configuración!$B$13="Sí",IF(L39="Casas particulares",Configuración!$B$14="Sí",IF(L39="Retenciones",Configuración!$B$15="Sí",IF(L39="Sociedad",Configuración!$B$16="Sí",IF(L39="Persona humana",Configuración!$B$17="Sí",IF(L39="Convenio Multilateral",Configuración!$B$18="Sí",FALSE()))))))))))</f>
        <v>0</v>
      </c>
      <c r="N39" s="68" t="str">
        <f>IF(M39=1,COUNTIF($M$2:M39,1),"")</f>
        <v/>
      </c>
      <c r="O39" s="50">
        <f t="shared" ca="1" si="0"/>
        <v>-191</v>
      </c>
      <c r="P39" s="17" t="str">
        <f t="shared" ca="1" si="1"/>
        <v>Vencido hace 191 días</v>
      </c>
      <c r="Q39" s="50">
        <f t="shared" si="2"/>
        <v>46062</v>
      </c>
      <c r="R39" s="17" t="str">
        <f>IF(M39=1,COUNTIFS($Q$2:Q39,Q39,$M$2:M39,1),"")</f>
        <v/>
      </c>
      <c r="S39" s="50" t="str">
        <f t="shared" si="3"/>
        <v/>
      </c>
    </row>
    <row r="40" spans="1:19" ht="45" customHeight="1" x14ac:dyDescent="0.35">
      <c r="A40" s="66">
        <v>46063</v>
      </c>
      <c r="B40" s="67" t="s">
        <v>29</v>
      </c>
      <c r="C40" s="67" t="s">
        <v>102</v>
      </c>
      <c r="D40" s="67" t="s">
        <v>103</v>
      </c>
      <c r="E40" s="67" t="s">
        <v>104</v>
      </c>
      <c r="F40" s="67" t="s">
        <v>128</v>
      </c>
      <c r="G40" s="67" t="s">
        <v>86</v>
      </c>
      <c r="H40" s="67" t="s">
        <v>87</v>
      </c>
      <c r="I40" s="67" t="s">
        <v>50</v>
      </c>
      <c r="J40" s="67" t="s">
        <v>88</v>
      </c>
      <c r="K40" s="67"/>
      <c r="L40" s="68" t="s">
        <v>29</v>
      </c>
      <c r="M40" s="68">
        <f>--AND(Configuración!$B$6&lt;&gt;"",OR(E40="Todas",ISNUMBER(SEARCH(Configuración!$B$7,E40))),IF(L40="Monotributo",Configuración!$B$10="Sí",IF(L40="Autónomos",Configuración!$B$11="Sí",IF(L40="Responsable inscripto",Configuración!$B$12="Sí",IF(L40="Empleador",Configuración!$B$13="Sí",IF(L40="Casas particulares",Configuración!$B$14="Sí",IF(L40="Retenciones",Configuración!$B$15="Sí",IF(L40="Sociedad",Configuración!$B$16="Sí",IF(L40="Persona humana",Configuración!$B$17="Sí",IF(L40="Convenio Multilateral",Configuración!$B$18="Sí",FALSE()))))))))))</f>
        <v>0</v>
      </c>
      <c r="N40" s="68" t="str">
        <f>IF(M40=1,COUNTIF($M$2:M40,1),"")</f>
        <v/>
      </c>
      <c r="O40" s="50">
        <f t="shared" ca="1" si="0"/>
        <v>-190</v>
      </c>
      <c r="P40" s="17" t="str">
        <f t="shared" ca="1" si="1"/>
        <v>Vencido hace 190 días</v>
      </c>
      <c r="Q40" s="50">
        <f t="shared" si="2"/>
        <v>46063</v>
      </c>
      <c r="R40" s="17" t="str">
        <f>IF(M40=1,COUNTIFS($Q$2:Q40,Q40,$M$2:M40,1),"")</f>
        <v/>
      </c>
      <c r="S40" s="50" t="str">
        <f t="shared" si="3"/>
        <v/>
      </c>
    </row>
    <row r="41" spans="1:19" ht="45" customHeight="1" x14ac:dyDescent="0.35">
      <c r="A41" s="66">
        <v>46063</v>
      </c>
      <c r="B41" s="67" t="s">
        <v>100</v>
      </c>
      <c r="C41" s="67" t="s">
        <v>101</v>
      </c>
      <c r="D41" s="67" t="s">
        <v>93</v>
      </c>
      <c r="E41" s="67" t="s">
        <v>89</v>
      </c>
      <c r="F41" s="67" t="s">
        <v>128</v>
      </c>
      <c r="G41" s="67" t="s">
        <v>94</v>
      </c>
      <c r="H41" s="67" t="s">
        <v>87</v>
      </c>
      <c r="I41" s="67" t="s">
        <v>50</v>
      </c>
      <c r="J41" s="67" t="s">
        <v>88</v>
      </c>
      <c r="K41" s="67"/>
      <c r="L41" s="68" t="s">
        <v>95</v>
      </c>
      <c r="M41" s="68">
        <f>--AND(Configuración!$B$6&lt;&gt;"",OR(E41="Todas",ISNUMBER(SEARCH(Configuración!$B$7,E41))),IF(L41="Monotributo",Configuración!$B$10="Sí",IF(L41="Autónomos",Configuración!$B$11="Sí",IF(L41="Responsable inscripto",Configuración!$B$12="Sí",IF(L41="Empleador",Configuración!$B$13="Sí",IF(L41="Casas particulares",Configuración!$B$14="Sí",IF(L41="Retenciones",Configuración!$B$15="Sí",IF(L41="Sociedad",Configuración!$B$16="Sí",IF(L41="Persona humana",Configuración!$B$17="Sí",IF(L41="Convenio Multilateral",Configuración!$B$18="Sí",FALSE()))))))))))</f>
        <v>0</v>
      </c>
      <c r="N41" s="68" t="str">
        <f>IF(M41=1,COUNTIF($M$2:M41,1),"")</f>
        <v/>
      </c>
      <c r="O41" s="50">
        <f t="shared" ca="1" si="0"/>
        <v>-190</v>
      </c>
      <c r="P41" s="17" t="str">
        <f t="shared" ca="1" si="1"/>
        <v>Vencido hace 190 días</v>
      </c>
      <c r="Q41" s="50">
        <f t="shared" si="2"/>
        <v>46063</v>
      </c>
      <c r="R41" s="17" t="str">
        <f>IF(M41=1,COUNTIFS($Q$2:Q41,Q41,$M$2:M41,1),"")</f>
        <v/>
      </c>
      <c r="S41" s="50" t="str">
        <f t="shared" si="3"/>
        <v/>
      </c>
    </row>
    <row r="42" spans="1:19" ht="45" customHeight="1" x14ac:dyDescent="0.35">
      <c r="A42" s="66">
        <v>46064</v>
      </c>
      <c r="B42" s="67" t="s">
        <v>100</v>
      </c>
      <c r="C42" s="67" t="s">
        <v>101</v>
      </c>
      <c r="D42" s="67" t="s">
        <v>93</v>
      </c>
      <c r="E42" s="67" t="s">
        <v>90</v>
      </c>
      <c r="F42" s="67" t="s">
        <v>128</v>
      </c>
      <c r="G42" s="67" t="s">
        <v>94</v>
      </c>
      <c r="H42" s="67" t="s">
        <v>87</v>
      </c>
      <c r="I42" s="67" t="s">
        <v>50</v>
      </c>
      <c r="J42" s="67" t="s">
        <v>88</v>
      </c>
      <c r="K42" s="67"/>
      <c r="L42" s="68" t="s">
        <v>95</v>
      </c>
      <c r="M42" s="68">
        <f>--AND(Configuración!$B$6&lt;&gt;"",OR(E42="Todas",ISNUMBER(SEARCH(Configuración!$B$7,E42))),IF(L42="Monotributo",Configuración!$B$10="Sí",IF(L42="Autónomos",Configuración!$B$11="Sí",IF(L42="Responsable inscripto",Configuración!$B$12="Sí",IF(L42="Empleador",Configuración!$B$13="Sí",IF(L42="Casas particulares",Configuración!$B$14="Sí",IF(L42="Retenciones",Configuración!$B$15="Sí",IF(L42="Sociedad",Configuración!$B$16="Sí",IF(L42="Persona humana",Configuración!$B$17="Sí",IF(L42="Convenio Multilateral",Configuración!$B$18="Sí",FALSE()))))))))))</f>
        <v>0</v>
      </c>
      <c r="N42" s="68" t="str">
        <f>IF(M42=1,COUNTIF($M$2:M42,1),"")</f>
        <v/>
      </c>
      <c r="O42" s="50">
        <f t="shared" ca="1" si="0"/>
        <v>-189</v>
      </c>
      <c r="P42" s="17" t="str">
        <f t="shared" ca="1" si="1"/>
        <v>Vencido hace 189 días</v>
      </c>
      <c r="Q42" s="50">
        <f t="shared" si="2"/>
        <v>46064</v>
      </c>
      <c r="R42" s="17" t="str">
        <f>IF(M42=1,COUNTIFS($Q$2:Q42,Q42,$M$2:M42,1),"")</f>
        <v/>
      </c>
      <c r="S42" s="50" t="str">
        <f t="shared" si="3"/>
        <v/>
      </c>
    </row>
    <row r="43" spans="1:19" ht="45" customHeight="1" x14ac:dyDescent="0.35">
      <c r="A43" s="66">
        <v>46066.625</v>
      </c>
      <c r="B43" s="67" t="s">
        <v>105</v>
      </c>
      <c r="C43" s="67" t="s">
        <v>106</v>
      </c>
      <c r="D43" s="67" t="s">
        <v>107</v>
      </c>
      <c r="E43" s="67" t="s">
        <v>84</v>
      </c>
      <c r="F43" s="67" t="s">
        <v>135</v>
      </c>
      <c r="G43" s="67" t="s">
        <v>109</v>
      </c>
      <c r="H43" s="67" t="s">
        <v>87</v>
      </c>
      <c r="I43" s="67" t="s">
        <v>50</v>
      </c>
      <c r="J43" s="67" t="s">
        <v>110</v>
      </c>
      <c r="K43" s="67" t="s">
        <v>111</v>
      </c>
      <c r="L43" s="68" t="s">
        <v>112</v>
      </c>
      <c r="M43" s="68">
        <f>--AND(Configuración!$B$6&lt;&gt;"",OR(E43="Todas",ISNUMBER(SEARCH(Configuración!$B$7,E43))),IF(L43="Monotributo",Configuración!$B$10="Sí",IF(L43="Autónomos",Configuración!$B$11="Sí",IF(L43="Responsable inscripto",Configuración!$B$12="Sí",IF(L43="Empleador",Configuración!$B$13="Sí",IF(L43="Casas particulares",Configuración!$B$14="Sí",IF(L43="Retenciones",Configuración!$B$15="Sí",IF(L43="Sociedad",Configuración!$B$16="Sí",IF(L43="Persona humana",Configuración!$B$17="Sí",IF(L43="Convenio Multilateral",Configuración!$B$18="Sí",FALSE()))))))))))</f>
        <v>0</v>
      </c>
      <c r="N43" s="68" t="str">
        <f>IF(M43=1,COUNTIF($M$2:M43,1),"")</f>
        <v/>
      </c>
      <c r="O43" s="50">
        <f t="shared" ca="1" si="0"/>
        <v>-187</v>
      </c>
      <c r="P43" s="17" t="str">
        <f t="shared" ca="1" si="1"/>
        <v>Vencido hace 187 días</v>
      </c>
      <c r="Q43" s="50">
        <f t="shared" si="2"/>
        <v>46066</v>
      </c>
      <c r="R43" s="17" t="str">
        <f>IF(M43=1,COUNTIFS($Q$2:Q43,Q43,$M$2:M43,1),"")</f>
        <v/>
      </c>
      <c r="S43" s="50" t="str">
        <f t="shared" si="3"/>
        <v/>
      </c>
    </row>
    <row r="44" spans="1:19" ht="45" customHeight="1" x14ac:dyDescent="0.35">
      <c r="A44" s="66">
        <v>46071</v>
      </c>
      <c r="B44" s="67" t="s">
        <v>29</v>
      </c>
      <c r="C44" s="67" t="s">
        <v>113</v>
      </c>
      <c r="D44" s="67" t="s">
        <v>114</v>
      </c>
      <c r="E44" s="67" t="s">
        <v>104</v>
      </c>
      <c r="F44" s="67" t="s">
        <v>128</v>
      </c>
      <c r="G44" s="67" t="s">
        <v>86</v>
      </c>
      <c r="H44" s="67" t="s">
        <v>87</v>
      </c>
      <c r="I44" s="67" t="s">
        <v>50</v>
      </c>
      <c r="J44" s="67" t="s">
        <v>88</v>
      </c>
      <c r="K44" s="67"/>
      <c r="L44" s="68" t="s">
        <v>29</v>
      </c>
      <c r="M44" s="68">
        <f>--AND(Configuración!$B$6&lt;&gt;"",OR(E44="Todas",ISNUMBER(SEARCH(Configuración!$B$7,E44))),IF(L44="Monotributo",Configuración!$B$10="Sí",IF(L44="Autónomos",Configuración!$B$11="Sí",IF(L44="Responsable inscripto",Configuración!$B$12="Sí",IF(L44="Empleador",Configuración!$B$13="Sí",IF(L44="Casas particulares",Configuración!$B$14="Sí",IF(L44="Retenciones",Configuración!$B$15="Sí",IF(L44="Sociedad",Configuración!$B$16="Sí",IF(L44="Persona humana",Configuración!$B$17="Sí",IF(L44="Convenio Multilateral",Configuración!$B$18="Sí",FALSE()))))))))))</f>
        <v>0</v>
      </c>
      <c r="N44" s="68" t="str">
        <f>IF(M44=1,COUNTIF($M$2:M44,1),"")</f>
        <v/>
      </c>
      <c r="O44" s="50">
        <f t="shared" ca="1" si="0"/>
        <v>-182</v>
      </c>
      <c r="P44" s="17" t="str">
        <f t="shared" ca="1" si="1"/>
        <v>Vencido hace 182 días</v>
      </c>
      <c r="Q44" s="50">
        <f t="shared" si="2"/>
        <v>46071</v>
      </c>
      <c r="R44" s="17" t="str">
        <f>IF(M44=1,COUNTIFS($Q$2:Q44,Q44,$M$2:M44,1),"")</f>
        <v/>
      </c>
      <c r="S44" s="50" t="str">
        <f t="shared" si="3"/>
        <v/>
      </c>
    </row>
    <row r="45" spans="1:19" ht="45" customHeight="1" x14ac:dyDescent="0.35">
      <c r="A45" s="66">
        <v>46071</v>
      </c>
      <c r="B45" s="67" t="s">
        <v>115</v>
      </c>
      <c r="C45" s="67" t="s">
        <v>116</v>
      </c>
      <c r="D45" s="67" t="s">
        <v>117</v>
      </c>
      <c r="E45" s="67" t="s">
        <v>84</v>
      </c>
      <c r="F45" s="67" t="s">
        <v>128</v>
      </c>
      <c r="G45" s="67" t="s">
        <v>94</v>
      </c>
      <c r="H45" s="67" t="s">
        <v>87</v>
      </c>
      <c r="I45" s="67" t="s">
        <v>50</v>
      </c>
      <c r="J45" s="67" t="s">
        <v>88</v>
      </c>
      <c r="K45" s="67"/>
      <c r="L45" s="68" t="s">
        <v>118</v>
      </c>
      <c r="M45" s="68">
        <f>--AND(Configuración!$B$6&lt;&gt;"",OR(E45="Todas",ISNUMBER(SEARCH(Configuración!$B$7,E45))),IF(L45="Monotributo",Configuración!$B$10="Sí",IF(L45="Autónomos",Configuración!$B$11="Sí",IF(L45="Responsable inscripto",Configuración!$B$12="Sí",IF(L45="Empleador",Configuración!$B$13="Sí",IF(L45="Casas particulares",Configuración!$B$14="Sí",IF(L45="Retenciones",Configuración!$B$15="Sí",IF(L45="Sociedad",Configuración!$B$16="Sí",IF(L45="Persona humana",Configuración!$B$17="Sí",IF(L45="Convenio Multilateral",Configuración!$B$18="Sí",FALSE()))))))))))</f>
        <v>0</v>
      </c>
      <c r="N45" s="68" t="str">
        <f>IF(M45=1,COUNTIF($M$2:M45,1),"")</f>
        <v/>
      </c>
      <c r="O45" s="50">
        <f t="shared" ca="1" si="0"/>
        <v>-182</v>
      </c>
      <c r="P45" s="17" t="str">
        <f t="shared" ca="1" si="1"/>
        <v>Vencido hace 182 días</v>
      </c>
      <c r="Q45" s="50">
        <f t="shared" si="2"/>
        <v>46071</v>
      </c>
      <c r="R45" s="17" t="str">
        <f>IF(M45=1,COUNTIFS($Q$2:Q45,Q45,$M$2:M45,1),"")</f>
        <v/>
      </c>
      <c r="S45" s="50" t="str">
        <f t="shared" si="3"/>
        <v/>
      </c>
    </row>
    <row r="46" spans="1:19" ht="45" customHeight="1" x14ac:dyDescent="0.35">
      <c r="A46" s="66">
        <v>46071</v>
      </c>
      <c r="B46" s="67" t="s">
        <v>119</v>
      </c>
      <c r="C46" s="67" t="s">
        <v>120</v>
      </c>
      <c r="D46" s="67" t="s">
        <v>121</v>
      </c>
      <c r="E46" s="67" t="s">
        <v>84</v>
      </c>
      <c r="F46" s="67" t="s">
        <v>128</v>
      </c>
      <c r="G46" s="67" t="s">
        <v>94</v>
      </c>
      <c r="H46" s="67" t="s">
        <v>87</v>
      </c>
      <c r="I46" s="67" t="s">
        <v>50</v>
      </c>
      <c r="J46" s="67" t="s">
        <v>88</v>
      </c>
      <c r="K46" s="67"/>
      <c r="L46" s="68" t="s">
        <v>118</v>
      </c>
      <c r="M46" s="68">
        <f>--AND(Configuración!$B$6&lt;&gt;"",OR(E46="Todas",ISNUMBER(SEARCH(Configuración!$B$7,E46))),IF(L46="Monotributo",Configuración!$B$10="Sí",IF(L46="Autónomos",Configuración!$B$11="Sí",IF(L46="Responsable inscripto",Configuración!$B$12="Sí",IF(L46="Empleador",Configuración!$B$13="Sí",IF(L46="Casas particulares",Configuración!$B$14="Sí",IF(L46="Retenciones",Configuración!$B$15="Sí",IF(L46="Sociedad",Configuración!$B$16="Sí",IF(L46="Persona humana",Configuración!$B$17="Sí",IF(L46="Convenio Multilateral",Configuración!$B$18="Sí",FALSE()))))))))))</f>
        <v>0</v>
      </c>
      <c r="N46" s="68" t="str">
        <f>IF(M46=1,COUNTIF($M$2:M46,1),"")</f>
        <v/>
      </c>
      <c r="O46" s="50">
        <f t="shared" ca="1" si="0"/>
        <v>-182</v>
      </c>
      <c r="P46" s="17" t="str">
        <f t="shared" ca="1" si="1"/>
        <v>Vencido hace 182 días</v>
      </c>
      <c r="Q46" s="50">
        <f t="shared" si="2"/>
        <v>46071</v>
      </c>
      <c r="R46" s="17" t="str">
        <f>IF(M46=1,COUNTIFS($Q$2:Q46,Q46,$M$2:M46,1),"")</f>
        <v/>
      </c>
      <c r="S46" s="50" t="str">
        <f t="shared" si="3"/>
        <v/>
      </c>
    </row>
    <row r="47" spans="1:19" ht="45" customHeight="1" x14ac:dyDescent="0.35">
      <c r="A47" s="66">
        <v>46071</v>
      </c>
      <c r="B47" s="67" t="s">
        <v>122</v>
      </c>
      <c r="C47" s="67" t="s">
        <v>123</v>
      </c>
      <c r="D47" s="67" t="s">
        <v>124</v>
      </c>
      <c r="E47" s="67" t="s">
        <v>84</v>
      </c>
      <c r="F47" s="67" t="s">
        <v>128</v>
      </c>
      <c r="G47" s="67" t="s">
        <v>109</v>
      </c>
      <c r="H47" s="67" t="s">
        <v>87</v>
      </c>
      <c r="I47" s="67" t="s">
        <v>50</v>
      </c>
      <c r="J47" s="67" t="s">
        <v>88</v>
      </c>
      <c r="K47" s="67" t="s">
        <v>125</v>
      </c>
      <c r="L47" s="68" t="s">
        <v>118</v>
      </c>
      <c r="M47" s="68">
        <f>--AND(Configuración!$B$6&lt;&gt;"",OR(E47="Todas",ISNUMBER(SEARCH(Configuración!$B$7,E47))),IF(L47="Monotributo",Configuración!$B$10="Sí",IF(L47="Autónomos",Configuración!$B$11="Sí",IF(L47="Responsable inscripto",Configuración!$B$12="Sí",IF(L47="Empleador",Configuración!$B$13="Sí",IF(L47="Casas particulares",Configuración!$B$14="Sí",IF(L47="Retenciones",Configuración!$B$15="Sí",IF(L47="Sociedad",Configuración!$B$16="Sí",IF(L47="Persona humana",Configuración!$B$17="Sí",IF(L47="Convenio Multilateral",Configuración!$B$18="Sí",FALSE()))))))))))</f>
        <v>0</v>
      </c>
      <c r="N47" s="68" t="str">
        <f>IF(M47=1,COUNTIF($M$2:M47,1),"")</f>
        <v/>
      </c>
      <c r="O47" s="50">
        <f t="shared" ca="1" si="0"/>
        <v>-182</v>
      </c>
      <c r="P47" s="17" t="str">
        <f t="shared" ca="1" si="1"/>
        <v>Vencido hace 182 días</v>
      </c>
      <c r="Q47" s="50">
        <f t="shared" si="2"/>
        <v>46071</v>
      </c>
      <c r="R47" s="17" t="str">
        <f>IF(M47=1,COUNTIFS($Q$2:Q47,Q47,$M$2:M47,1),"")</f>
        <v/>
      </c>
      <c r="S47" s="50" t="str">
        <f t="shared" si="3"/>
        <v/>
      </c>
    </row>
    <row r="48" spans="1:19" ht="45" customHeight="1" x14ac:dyDescent="0.35">
      <c r="A48" s="66">
        <v>46071.625</v>
      </c>
      <c r="B48" s="67" t="s">
        <v>105</v>
      </c>
      <c r="C48" s="67" t="s">
        <v>106</v>
      </c>
      <c r="D48" s="67" t="s">
        <v>107</v>
      </c>
      <c r="E48" s="67" t="s">
        <v>89</v>
      </c>
      <c r="F48" s="67" t="s">
        <v>135</v>
      </c>
      <c r="G48" s="67" t="s">
        <v>109</v>
      </c>
      <c r="H48" s="67" t="s">
        <v>87</v>
      </c>
      <c r="I48" s="67" t="s">
        <v>50</v>
      </c>
      <c r="J48" s="67" t="s">
        <v>110</v>
      </c>
      <c r="K48" s="67" t="s">
        <v>111</v>
      </c>
      <c r="L48" s="68" t="s">
        <v>112</v>
      </c>
      <c r="M48" s="68">
        <f>--AND(Configuración!$B$6&lt;&gt;"",OR(E48="Todas",ISNUMBER(SEARCH(Configuración!$B$7,E48))),IF(L48="Monotributo",Configuración!$B$10="Sí",IF(L48="Autónomos",Configuración!$B$11="Sí",IF(L48="Responsable inscripto",Configuración!$B$12="Sí",IF(L48="Empleador",Configuración!$B$13="Sí",IF(L48="Casas particulares",Configuración!$B$14="Sí",IF(L48="Retenciones",Configuración!$B$15="Sí",IF(L48="Sociedad",Configuración!$B$16="Sí",IF(L48="Persona humana",Configuración!$B$17="Sí",IF(L48="Convenio Multilateral",Configuración!$B$18="Sí",FALSE()))))))))))</f>
        <v>0</v>
      </c>
      <c r="N48" s="68" t="str">
        <f>IF(M48=1,COUNTIF($M$2:M48,1),"")</f>
        <v/>
      </c>
      <c r="O48" s="50">
        <f t="shared" ca="1" si="0"/>
        <v>-182</v>
      </c>
      <c r="P48" s="17" t="str">
        <f t="shared" ca="1" si="1"/>
        <v>Vencido hace 182 días</v>
      </c>
      <c r="Q48" s="50">
        <f t="shared" si="2"/>
        <v>46071</v>
      </c>
      <c r="R48" s="17" t="str">
        <f>IF(M48=1,COUNTIFS($Q$2:Q48,Q48,$M$2:M48,1),"")</f>
        <v/>
      </c>
      <c r="S48" s="50" t="str">
        <f t="shared" si="3"/>
        <v/>
      </c>
    </row>
    <row r="49" spans="1:19" ht="45" customHeight="1" x14ac:dyDescent="0.35">
      <c r="A49" s="66">
        <v>46072</v>
      </c>
      <c r="B49" s="67" t="s">
        <v>115</v>
      </c>
      <c r="C49" s="67" t="s">
        <v>116</v>
      </c>
      <c r="D49" s="67" t="s">
        <v>117</v>
      </c>
      <c r="E49" s="67" t="s">
        <v>89</v>
      </c>
      <c r="F49" s="67" t="s">
        <v>128</v>
      </c>
      <c r="G49" s="67" t="s">
        <v>94</v>
      </c>
      <c r="H49" s="67" t="s">
        <v>87</v>
      </c>
      <c r="I49" s="67" t="s">
        <v>50</v>
      </c>
      <c r="J49" s="67" t="s">
        <v>88</v>
      </c>
      <c r="K49" s="67"/>
      <c r="L49" s="68" t="s">
        <v>118</v>
      </c>
      <c r="M49" s="68">
        <f>--AND(Configuración!$B$6&lt;&gt;"",OR(E49="Todas",ISNUMBER(SEARCH(Configuración!$B$7,E49))),IF(L49="Monotributo",Configuración!$B$10="Sí",IF(L49="Autónomos",Configuración!$B$11="Sí",IF(L49="Responsable inscripto",Configuración!$B$12="Sí",IF(L49="Empleador",Configuración!$B$13="Sí",IF(L49="Casas particulares",Configuración!$B$14="Sí",IF(L49="Retenciones",Configuración!$B$15="Sí",IF(L49="Sociedad",Configuración!$B$16="Sí",IF(L49="Persona humana",Configuración!$B$17="Sí",IF(L49="Convenio Multilateral",Configuración!$B$18="Sí",FALSE()))))))))))</f>
        <v>0</v>
      </c>
      <c r="N49" s="68" t="str">
        <f>IF(M49=1,COUNTIF($M$2:M49,1),"")</f>
        <v/>
      </c>
      <c r="O49" s="50">
        <f t="shared" ca="1" si="0"/>
        <v>-181</v>
      </c>
      <c r="P49" s="17" t="str">
        <f t="shared" ca="1" si="1"/>
        <v>Vencido hace 181 días</v>
      </c>
      <c r="Q49" s="50">
        <f t="shared" si="2"/>
        <v>46072</v>
      </c>
      <c r="R49" s="17" t="str">
        <f>IF(M49=1,COUNTIFS($Q$2:Q49,Q49,$M$2:M49,1),"")</f>
        <v/>
      </c>
      <c r="S49" s="50" t="str">
        <f t="shared" si="3"/>
        <v/>
      </c>
    </row>
    <row r="50" spans="1:19" ht="45" customHeight="1" x14ac:dyDescent="0.35">
      <c r="A50" s="66">
        <v>46072</v>
      </c>
      <c r="B50" s="67" t="s">
        <v>119</v>
      </c>
      <c r="C50" s="67" t="s">
        <v>120</v>
      </c>
      <c r="D50" s="67" t="s">
        <v>121</v>
      </c>
      <c r="E50" s="67" t="s">
        <v>89</v>
      </c>
      <c r="F50" s="67" t="s">
        <v>128</v>
      </c>
      <c r="G50" s="67" t="s">
        <v>94</v>
      </c>
      <c r="H50" s="67" t="s">
        <v>87</v>
      </c>
      <c r="I50" s="67" t="s">
        <v>50</v>
      </c>
      <c r="J50" s="67" t="s">
        <v>88</v>
      </c>
      <c r="K50" s="67"/>
      <c r="L50" s="68" t="s">
        <v>118</v>
      </c>
      <c r="M50" s="68">
        <f>--AND(Configuración!$B$6&lt;&gt;"",OR(E50="Todas",ISNUMBER(SEARCH(Configuración!$B$7,E50))),IF(L50="Monotributo",Configuración!$B$10="Sí",IF(L50="Autónomos",Configuración!$B$11="Sí",IF(L50="Responsable inscripto",Configuración!$B$12="Sí",IF(L50="Empleador",Configuración!$B$13="Sí",IF(L50="Casas particulares",Configuración!$B$14="Sí",IF(L50="Retenciones",Configuración!$B$15="Sí",IF(L50="Sociedad",Configuración!$B$16="Sí",IF(L50="Persona humana",Configuración!$B$17="Sí",IF(L50="Convenio Multilateral",Configuración!$B$18="Sí",FALSE()))))))))))</f>
        <v>0</v>
      </c>
      <c r="N50" s="68" t="str">
        <f>IF(M50=1,COUNTIF($M$2:M50,1),"")</f>
        <v/>
      </c>
      <c r="O50" s="50">
        <f t="shared" ca="1" si="0"/>
        <v>-181</v>
      </c>
      <c r="P50" s="17" t="str">
        <f t="shared" ca="1" si="1"/>
        <v>Vencido hace 181 días</v>
      </c>
      <c r="Q50" s="50">
        <f t="shared" si="2"/>
        <v>46072</v>
      </c>
      <c r="R50" s="17" t="str">
        <f>IF(M50=1,COUNTIFS($Q$2:Q50,Q50,$M$2:M50,1),"")</f>
        <v/>
      </c>
      <c r="S50" s="50" t="str">
        <f t="shared" si="3"/>
        <v/>
      </c>
    </row>
    <row r="51" spans="1:19" ht="45" customHeight="1" x14ac:dyDescent="0.35">
      <c r="A51" s="66">
        <v>46072</v>
      </c>
      <c r="B51" s="67" t="s">
        <v>122</v>
      </c>
      <c r="C51" s="67" t="s">
        <v>123</v>
      </c>
      <c r="D51" s="67" t="s">
        <v>124</v>
      </c>
      <c r="E51" s="67" t="s">
        <v>89</v>
      </c>
      <c r="F51" s="67" t="s">
        <v>128</v>
      </c>
      <c r="G51" s="67" t="s">
        <v>109</v>
      </c>
      <c r="H51" s="67" t="s">
        <v>87</v>
      </c>
      <c r="I51" s="67" t="s">
        <v>50</v>
      </c>
      <c r="J51" s="67" t="s">
        <v>88</v>
      </c>
      <c r="K51" s="67" t="s">
        <v>125</v>
      </c>
      <c r="L51" s="68" t="s">
        <v>118</v>
      </c>
      <c r="M51" s="68">
        <f>--AND(Configuración!$B$6&lt;&gt;"",OR(E51="Todas",ISNUMBER(SEARCH(Configuración!$B$7,E51))),IF(L51="Monotributo",Configuración!$B$10="Sí",IF(L51="Autónomos",Configuración!$B$11="Sí",IF(L51="Responsable inscripto",Configuración!$B$12="Sí",IF(L51="Empleador",Configuración!$B$13="Sí",IF(L51="Casas particulares",Configuración!$B$14="Sí",IF(L51="Retenciones",Configuración!$B$15="Sí",IF(L51="Sociedad",Configuración!$B$16="Sí",IF(L51="Persona humana",Configuración!$B$17="Sí",IF(L51="Convenio Multilateral",Configuración!$B$18="Sí",FALSE()))))))))))</f>
        <v>0</v>
      </c>
      <c r="N51" s="68" t="str">
        <f>IF(M51=1,COUNTIF($M$2:M51,1),"")</f>
        <v/>
      </c>
      <c r="O51" s="50">
        <f t="shared" ca="1" si="0"/>
        <v>-181</v>
      </c>
      <c r="P51" s="17" t="str">
        <f t="shared" ca="1" si="1"/>
        <v>Vencido hace 181 días</v>
      </c>
      <c r="Q51" s="50">
        <f t="shared" si="2"/>
        <v>46072</v>
      </c>
      <c r="R51" s="17" t="str">
        <f>IF(M51=1,COUNTIFS($Q$2:Q51,Q51,$M$2:M51,1),"")</f>
        <v/>
      </c>
      <c r="S51" s="50" t="str">
        <f t="shared" si="3"/>
        <v/>
      </c>
    </row>
    <row r="52" spans="1:19" ht="45" customHeight="1" x14ac:dyDescent="0.35">
      <c r="A52" s="66">
        <v>46072.625</v>
      </c>
      <c r="B52" s="67" t="s">
        <v>105</v>
      </c>
      <c r="C52" s="67" t="s">
        <v>106</v>
      </c>
      <c r="D52" s="67" t="s">
        <v>107</v>
      </c>
      <c r="E52" s="67" t="s">
        <v>90</v>
      </c>
      <c r="F52" s="67" t="s">
        <v>135</v>
      </c>
      <c r="G52" s="67" t="s">
        <v>109</v>
      </c>
      <c r="H52" s="67" t="s">
        <v>87</v>
      </c>
      <c r="I52" s="67" t="s">
        <v>50</v>
      </c>
      <c r="J52" s="67" t="s">
        <v>110</v>
      </c>
      <c r="K52" s="67" t="s">
        <v>111</v>
      </c>
      <c r="L52" s="68" t="s">
        <v>112</v>
      </c>
      <c r="M52" s="68">
        <f>--AND(Configuración!$B$6&lt;&gt;"",OR(E52="Todas",ISNUMBER(SEARCH(Configuración!$B$7,E52))),IF(L52="Monotributo",Configuración!$B$10="Sí",IF(L52="Autónomos",Configuración!$B$11="Sí",IF(L52="Responsable inscripto",Configuración!$B$12="Sí",IF(L52="Empleador",Configuración!$B$13="Sí",IF(L52="Casas particulares",Configuración!$B$14="Sí",IF(L52="Retenciones",Configuración!$B$15="Sí",IF(L52="Sociedad",Configuración!$B$16="Sí",IF(L52="Persona humana",Configuración!$B$17="Sí",IF(L52="Convenio Multilateral",Configuración!$B$18="Sí",FALSE()))))))))))</f>
        <v>0</v>
      </c>
      <c r="N52" s="68" t="str">
        <f>IF(M52=1,COUNTIF($M$2:M52,1),"")</f>
        <v/>
      </c>
      <c r="O52" s="50">
        <f t="shared" ca="1" si="0"/>
        <v>-181</v>
      </c>
      <c r="P52" s="17" t="str">
        <f t="shared" ca="1" si="1"/>
        <v>Vencido hace 181 días</v>
      </c>
      <c r="Q52" s="50">
        <f t="shared" si="2"/>
        <v>46072</v>
      </c>
      <c r="R52" s="17" t="str">
        <f>IF(M52=1,COUNTIFS($Q$2:Q52,Q52,$M$2:M52,1),"")</f>
        <v/>
      </c>
      <c r="S52" s="50" t="str">
        <f t="shared" si="3"/>
        <v/>
      </c>
    </row>
    <row r="53" spans="1:19" ht="45" customHeight="1" x14ac:dyDescent="0.35">
      <c r="A53" s="66">
        <v>46073</v>
      </c>
      <c r="B53" s="67" t="s">
        <v>115</v>
      </c>
      <c r="C53" s="67" t="s">
        <v>116</v>
      </c>
      <c r="D53" s="67" t="s">
        <v>117</v>
      </c>
      <c r="E53" s="67" t="s">
        <v>90</v>
      </c>
      <c r="F53" s="67" t="s">
        <v>128</v>
      </c>
      <c r="G53" s="67" t="s">
        <v>94</v>
      </c>
      <c r="H53" s="67" t="s">
        <v>87</v>
      </c>
      <c r="I53" s="67" t="s">
        <v>50</v>
      </c>
      <c r="J53" s="67" t="s">
        <v>88</v>
      </c>
      <c r="K53" s="67"/>
      <c r="L53" s="68" t="s">
        <v>118</v>
      </c>
      <c r="M53" s="68">
        <f>--AND(Configuración!$B$6&lt;&gt;"",OR(E53="Todas",ISNUMBER(SEARCH(Configuración!$B$7,E53))),IF(L53="Monotributo",Configuración!$B$10="Sí",IF(L53="Autónomos",Configuración!$B$11="Sí",IF(L53="Responsable inscripto",Configuración!$B$12="Sí",IF(L53="Empleador",Configuración!$B$13="Sí",IF(L53="Casas particulares",Configuración!$B$14="Sí",IF(L53="Retenciones",Configuración!$B$15="Sí",IF(L53="Sociedad",Configuración!$B$16="Sí",IF(L53="Persona humana",Configuración!$B$17="Sí",IF(L53="Convenio Multilateral",Configuración!$B$18="Sí",FALSE()))))))))))</f>
        <v>0</v>
      </c>
      <c r="N53" s="68" t="str">
        <f>IF(M53=1,COUNTIF($M$2:M53,1),"")</f>
        <v/>
      </c>
      <c r="O53" s="50">
        <f t="shared" ca="1" si="0"/>
        <v>-180</v>
      </c>
      <c r="P53" s="17" t="str">
        <f t="shared" ca="1" si="1"/>
        <v>Vencido hace 180 días</v>
      </c>
      <c r="Q53" s="50">
        <f t="shared" si="2"/>
        <v>46073</v>
      </c>
      <c r="R53" s="17" t="str">
        <f>IF(M53=1,COUNTIFS($Q$2:Q53,Q53,$M$2:M53,1),"")</f>
        <v/>
      </c>
      <c r="S53" s="50" t="str">
        <f t="shared" si="3"/>
        <v/>
      </c>
    </row>
    <row r="54" spans="1:19" ht="45" customHeight="1" x14ac:dyDescent="0.35">
      <c r="A54" s="66">
        <v>46073</v>
      </c>
      <c r="B54" s="67" t="s">
        <v>119</v>
      </c>
      <c r="C54" s="67" t="s">
        <v>120</v>
      </c>
      <c r="D54" s="67" t="s">
        <v>121</v>
      </c>
      <c r="E54" s="67" t="s">
        <v>90</v>
      </c>
      <c r="F54" s="67" t="s">
        <v>128</v>
      </c>
      <c r="G54" s="67" t="s">
        <v>94</v>
      </c>
      <c r="H54" s="67" t="s">
        <v>87</v>
      </c>
      <c r="I54" s="67" t="s">
        <v>50</v>
      </c>
      <c r="J54" s="67" t="s">
        <v>88</v>
      </c>
      <c r="K54" s="67"/>
      <c r="L54" s="68" t="s">
        <v>118</v>
      </c>
      <c r="M54" s="68">
        <f>--AND(Configuración!$B$6&lt;&gt;"",OR(E54="Todas",ISNUMBER(SEARCH(Configuración!$B$7,E54))),IF(L54="Monotributo",Configuración!$B$10="Sí",IF(L54="Autónomos",Configuración!$B$11="Sí",IF(L54="Responsable inscripto",Configuración!$B$12="Sí",IF(L54="Empleador",Configuración!$B$13="Sí",IF(L54="Casas particulares",Configuración!$B$14="Sí",IF(L54="Retenciones",Configuración!$B$15="Sí",IF(L54="Sociedad",Configuración!$B$16="Sí",IF(L54="Persona humana",Configuración!$B$17="Sí",IF(L54="Convenio Multilateral",Configuración!$B$18="Sí",FALSE()))))))))))</f>
        <v>0</v>
      </c>
      <c r="N54" s="68" t="str">
        <f>IF(M54=1,COUNTIF($M$2:M54,1),"")</f>
        <v/>
      </c>
      <c r="O54" s="50">
        <f t="shared" ca="1" si="0"/>
        <v>-180</v>
      </c>
      <c r="P54" s="17" t="str">
        <f t="shared" ca="1" si="1"/>
        <v>Vencido hace 180 días</v>
      </c>
      <c r="Q54" s="50">
        <f t="shared" si="2"/>
        <v>46073</v>
      </c>
      <c r="R54" s="17" t="str">
        <f>IF(M54=1,COUNTIFS($Q$2:Q54,Q54,$M$2:M54,1),"")</f>
        <v/>
      </c>
      <c r="S54" s="50" t="str">
        <f t="shared" si="3"/>
        <v/>
      </c>
    </row>
    <row r="55" spans="1:19" ht="45" customHeight="1" x14ac:dyDescent="0.35">
      <c r="A55" s="66">
        <v>46073</v>
      </c>
      <c r="B55" s="67" t="s">
        <v>122</v>
      </c>
      <c r="C55" s="67" t="s">
        <v>123</v>
      </c>
      <c r="D55" s="67" t="s">
        <v>124</v>
      </c>
      <c r="E55" s="67" t="s">
        <v>90</v>
      </c>
      <c r="F55" s="67" t="s">
        <v>128</v>
      </c>
      <c r="G55" s="67" t="s">
        <v>109</v>
      </c>
      <c r="H55" s="67" t="s">
        <v>87</v>
      </c>
      <c r="I55" s="67" t="s">
        <v>50</v>
      </c>
      <c r="J55" s="67" t="s">
        <v>88</v>
      </c>
      <c r="K55" s="67" t="s">
        <v>125</v>
      </c>
      <c r="L55" s="68" t="s">
        <v>118</v>
      </c>
      <c r="M55" s="68">
        <f>--AND(Configuración!$B$6&lt;&gt;"",OR(E55="Todas",ISNUMBER(SEARCH(Configuración!$B$7,E55))),IF(L55="Monotributo",Configuración!$B$10="Sí",IF(L55="Autónomos",Configuración!$B$11="Sí",IF(L55="Responsable inscripto",Configuración!$B$12="Sí",IF(L55="Empleador",Configuración!$B$13="Sí",IF(L55="Casas particulares",Configuración!$B$14="Sí",IF(L55="Retenciones",Configuración!$B$15="Sí",IF(L55="Sociedad",Configuración!$B$16="Sí",IF(L55="Persona humana",Configuración!$B$17="Sí",IF(L55="Convenio Multilateral",Configuración!$B$18="Sí",FALSE()))))))))))</f>
        <v>0</v>
      </c>
      <c r="N55" s="68" t="str">
        <f>IF(M55=1,COUNTIF($M$2:M55,1),"")</f>
        <v/>
      </c>
      <c r="O55" s="50">
        <f t="shared" ca="1" si="0"/>
        <v>-180</v>
      </c>
      <c r="P55" s="17" t="str">
        <f t="shared" ca="1" si="1"/>
        <v>Vencido hace 180 días</v>
      </c>
      <c r="Q55" s="50">
        <f t="shared" si="2"/>
        <v>46073</v>
      </c>
      <c r="R55" s="17" t="str">
        <f>IF(M55=1,COUNTIFS($Q$2:Q55,Q55,$M$2:M55,1),"")</f>
        <v/>
      </c>
      <c r="S55" s="50" t="str">
        <f t="shared" si="3"/>
        <v/>
      </c>
    </row>
    <row r="56" spans="1:19" ht="30" customHeight="1" x14ac:dyDescent="0.35">
      <c r="A56" s="66">
        <v>46073</v>
      </c>
      <c r="B56" s="67" t="s">
        <v>24</v>
      </c>
      <c r="C56" s="67" t="s">
        <v>126</v>
      </c>
      <c r="D56" s="67" t="s">
        <v>127</v>
      </c>
      <c r="E56" s="67" t="s">
        <v>104</v>
      </c>
      <c r="F56" s="67" t="s">
        <v>136</v>
      </c>
      <c r="G56" s="67" t="s">
        <v>86</v>
      </c>
      <c r="H56" s="67" t="s">
        <v>87</v>
      </c>
      <c r="I56" s="67" t="s">
        <v>50</v>
      </c>
      <c r="J56" s="67" t="s">
        <v>129</v>
      </c>
      <c r="K56" s="67" t="s">
        <v>130</v>
      </c>
      <c r="L56" s="68" t="s">
        <v>24</v>
      </c>
      <c r="M56" s="68">
        <f>--AND(Configuración!$B$6&lt;&gt;"",OR(E56="Todas",ISNUMBER(SEARCH(Configuración!$B$7,E56))),IF(L56="Monotributo",Configuración!$B$10="Sí",IF(L56="Autónomos",Configuración!$B$11="Sí",IF(L56="Responsable inscripto",Configuración!$B$12="Sí",IF(L56="Empleador",Configuración!$B$13="Sí",IF(L56="Casas particulares",Configuración!$B$14="Sí",IF(L56="Retenciones",Configuración!$B$15="Sí",IF(L56="Sociedad",Configuración!$B$16="Sí",IF(L56="Persona humana",Configuración!$B$17="Sí",IF(L56="Convenio Multilateral",Configuración!$B$18="Sí",FALSE()))))))))))</f>
        <v>0</v>
      </c>
      <c r="N56" s="68" t="str">
        <f>IF(M56=1,COUNTIF($M$2:M56,1),"")</f>
        <v/>
      </c>
      <c r="O56" s="50">
        <f t="shared" ca="1" si="0"/>
        <v>-180</v>
      </c>
      <c r="P56" s="17" t="str">
        <f t="shared" ca="1" si="1"/>
        <v>Vencido hace 180 días</v>
      </c>
      <c r="Q56" s="50">
        <f t="shared" si="2"/>
        <v>46073</v>
      </c>
      <c r="R56" s="17" t="str">
        <f>IF(M56=1,COUNTIFS($Q$2:Q56,Q56,$M$2:M56,1),"")</f>
        <v/>
      </c>
      <c r="S56" s="50" t="str">
        <f t="shared" si="3"/>
        <v/>
      </c>
    </row>
    <row r="57" spans="1:19" ht="75" customHeight="1" x14ac:dyDescent="0.35">
      <c r="A57" s="66">
        <v>46073.625</v>
      </c>
      <c r="B57" s="67" t="s">
        <v>137</v>
      </c>
      <c r="C57" s="67" t="s">
        <v>138</v>
      </c>
      <c r="D57" s="67" t="s">
        <v>139</v>
      </c>
      <c r="E57" s="67" t="s">
        <v>140</v>
      </c>
      <c r="F57" s="67" t="s">
        <v>141</v>
      </c>
      <c r="G57" s="67" t="s">
        <v>94</v>
      </c>
      <c r="H57" s="67" t="s">
        <v>142</v>
      </c>
      <c r="I57" s="67" t="s">
        <v>50</v>
      </c>
      <c r="J57" s="67" t="s">
        <v>143</v>
      </c>
      <c r="K57" s="67" t="s">
        <v>144</v>
      </c>
      <c r="L57" s="68" t="s">
        <v>33</v>
      </c>
      <c r="M57" s="68">
        <f>--AND(Configuración!$B$6&lt;&gt;"",OR(E57="Todas",ISNUMBER(SEARCH(Configuración!$B$7,E57))),IF(L57="Monotributo",Configuración!$B$10="Sí",IF(L57="Autónomos",Configuración!$B$11="Sí",IF(L57="Responsable inscripto",Configuración!$B$12="Sí",IF(L57="Empleador",Configuración!$B$13="Sí",IF(L57="Casas particulares",Configuración!$B$14="Sí",IF(L57="Retenciones",Configuración!$B$15="Sí",IF(L57="Sociedad",Configuración!$B$16="Sí",IF(L57="Persona humana",Configuración!$B$17="Sí",IF(L57="Convenio Multilateral",Configuración!$B$18="Sí",FALSE()))))))))))</f>
        <v>0</v>
      </c>
      <c r="N57" s="68" t="str">
        <f>IF(M57=1,COUNTIF($M$2:M57,1),"")</f>
        <v/>
      </c>
      <c r="O57" s="50">
        <f t="shared" ca="1" si="0"/>
        <v>-180</v>
      </c>
      <c r="P57" s="17" t="str">
        <f t="shared" ca="1" si="1"/>
        <v>Vencido hace 180 días</v>
      </c>
      <c r="Q57" s="50">
        <f t="shared" si="2"/>
        <v>46073</v>
      </c>
      <c r="R57" s="17" t="str">
        <f>IF(M57=1,COUNTIFS($Q$2:Q57,Q57,$M$2:M57,1),"")</f>
        <v/>
      </c>
      <c r="S57" s="50" t="str">
        <f t="shared" si="3"/>
        <v/>
      </c>
    </row>
    <row r="58" spans="1:19" ht="75" customHeight="1" x14ac:dyDescent="0.35">
      <c r="A58" s="66">
        <v>46073.625</v>
      </c>
      <c r="B58" s="67" t="s">
        <v>137</v>
      </c>
      <c r="C58" s="67" t="s">
        <v>138</v>
      </c>
      <c r="D58" s="67" t="s">
        <v>139</v>
      </c>
      <c r="E58" s="67" t="s">
        <v>145</v>
      </c>
      <c r="F58" s="67" t="s">
        <v>141</v>
      </c>
      <c r="G58" s="67" t="s">
        <v>94</v>
      </c>
      <c r="H58" s="67" t="s">
        <v>142</v>
      </c>
      <c r="I58" s="67" t="s">
        <v>50</v>
      </c>
      <c r="J58" s="67" t="s">
        <v>143</v>
      </c>
      <c r="K58" s="67" t="s">
        <v>144</v>
      </c>
      <c r="L58" s="68" t="s">
        <v>33</v>
      </c>
      <c r="M58" s="68">
        <f>--AND(Configuración!$B$6&lt;&gt;"",OR(E58="Todas",ISNUMBER(SEARCH(Configuración!$B$7,E58))),IF(L58="Monotributo",Configuración!$B$10="Sí",IF(L58="Autónomos",Configuración!$B$11="Sí",IF(L58="Responsable inscripto",Configuración!$B$12="Sí",IF(L58="Empleador",Configuración!$B$13="Sí",IF(L58="Casas particulares",Configuración!$B$14="Sí",IF(L58="Retenciones",Configuración!$B$15="Sí",IF(L58="Sociedad",Configuración!$B$16="Sí",IF(L58="Persona humana",Configuración!$B$17="Sí",IF(L58="Convenio Multilateral",Configuración!$B$18="Sí",FALSE()))))))))))</f>
        <v>0</v>
      </c>
      <c r="N58" s="68" t="str">
        <f>IF(M58=1,COUNTIF($M$2:M58,1),"")</f>
        <v/>
      </c>
      <c r="O58" s="50">
        <f t="shared" ca="1" si="0"/>
        <v>-180</v>
      </c>
      <c r="P58" s="17" t="str">
        <f t="shared" ca="1" si="1"/>
        <v>Vencido hace 180 días</v>
      </c>
      <c r="Q58" s="50">
        <f t="shared" si="2"/>
        <v>46073</v>
      </c>
      <c r="R58" s="17" t="str">
        <f>IF(M58=1,COUNTIFS($Q$2:Q58,Q58,$M$2:M58,1),"")</f>
        <v/>
      </c>
      <c r="S58" s="50" t="str">
        <f t="shared" si="3"/>
        <v/>
      </c>
    </row>
    <row r="59" spans="1:19" ht="75" customHeight="1" x14ac:dyDescent="0.35">
      <c r="A59" s="66">
        <v>46073.625</v>
      </c>
      <c r="B59" s="67" t="s">
        <v>137</v>
      </c>
      <c r="C59" s="67" t="s">
        <v>138</v>
      </c>
      <c r="D59" s="67" t="s">
        <v>139</v>
      </c>
      <c r="E59" s="67" t="s">
        <v>146</v>
      </c>
      <c r="F59" s="67" t="s">
        <v>141</v>
      </c>
      <c r="G59" s="67" t="s">
        <v>94</v>
      </c>
      <c r="H59" s="67" t="s">
        <v>142</v>
      </c>
      <c r="I59" s="67" t="s">
        <v>50</v>
      </c>
      <c r="J59" s="67" t="s">
        <v>143</v>
      </c>
      <c r="K59" s="67" t="s">
        <v>144</v>
      </c>
      <c r="L59" s="68" t="s">
        <v>33</v>
      </c>
      <c r="M59" s="68">
        <f>--AND(Configuración!$B$6&lt;&gt;"",OR(E59="Todas",ISNUMBER(SEARCH(Configuración!$B$7,E59))),IF(L59="Monotributo",Configuración!$B$10="Sí",IF(L59="Autónomos",Configuración!$B$11="Sí",IF(L59="Responsable inscripto",Configuración!$B$12="Sí",IF(L59="Empleador",Configuración!$B$13="Sí",IF(L59="Casas particulares",Configuración!$B$14="Sí",IF(L59="Retenciones",Configuración!$B$15="Sí",IF(L59="Sociedad",Configuración!$B$16="Sí",IF(L59="Persona humana",Configuración!$B$17="Sí",IF(L59="Convenio Multilateral",Configuración!$B$18="Sí",FALSE()))))))))))</f>
        <v>0</v>
      </c>
      <c r="N59" s="68" t="str">
        <f>IF(M59=1,COUNTIF($M$2:M59,1),"")</f>
        <v/>
      </c>
      <c r="O59" s="50">
        <f t="shared" ca="1" si="0"/>
        <v>-180</v>
      </c>
      <c r="P59" s="17" t="str">
        <f t="shared" ca="1" si="1"/>
        <v>Vencido hace 180 días</v>
      </c>
      <c r="Q59" s="50">
        <f t="shared" si="2"/>
        <v>46073</v>
      </c>
      <c r="R59" s="17" t="str">
        <f>IF(M59=1,COUNTIFS($Q$2:Q59,Q59,$M$2:M59,1),"")</f>
        <v/>
      </c>
      <c r="S59" s="50" t="str">
        <f t="shared" si="3"/>
        <v/>
      </c>
    </row>
    <row r="60" spans="1:19" ht="75" customHeight="1" x14ac:dyDescent="0.35">
      <c r="A60" s="66">
        <v>46073.625</v>
      </c>
      <c r="B60" s="67" t="s">
        <v>137</v>
      </c>
      <c r="C60" s="67" t="s">
        <v>138</v>
      </c>
      <c r="D60" s="67" t="s">
        <v>139</v>
      </c>
      <c r="E60" s="67" t="s">
        <v>147</v>
      </c>
      <c r="F60" s="67" t="s">
        <v>141</v>
      </c>
      <c r="G60" s="67" t="s">
        <v>94</v>
      </c>
      <c r="H60" s="67" t="s">
        <v>142</v>
      </c>
      <c r="I60" s="67" t="s">
        <v>50</v>
      </c>
      <c r="J60" s="67" t="s">
        <v>143</v>
      </c>
      <c r="K60" s="67" t="s">
        <v>144</v>
      </c>
      <c r="L60" s="68" t="s">
        <v>33</v>
      </c>
      <c r="M60" s="68">
        <f>--AND(Configuración!$B$6&lt;&gt;"",OR(E60="Todas",ISNUMBER(SEARCH(Configuración!$B$7,E60))),IF(L60="Monotributo",Configuración!$B$10="Sí",IF(L60="Autónomos",Configuración!$B$11="Sí",IF(L60="Responsable inscripto",Configuración!$B$12="Sí",IF(L60="Empleador",Configuración!$B$13="Sí",IF(L60="Casas particulares",Configuración!$B$14="Sí",IF(L60="Retenciones",Configuración!$B$15="Sí",IF(L60="Sociedad",Configuración!$B$16="Sí",IF(L60="Persona humana",Configuración!$B$17="Sí",IF(L60="Convenio Multilateral",Configuración!$B$18="Sí",FALSE()))))))))))</f>
        <v>0</v>
      </c>
      <c r="N60" s="68" t="str">
        <f>IF(M60=1,COUNTIF($M$2:M60,1),"")</f>
        <v/>
      </c>
      <c r="O60" s="50">
        <f t="shared" ca="1" si="0"/>
        <v>-180</v>
      </c>
      <c r="P60" s="17" t="str">
        <f t="shared" ca="1" si="1"/>
        <v>Vencido hace 180 días</v>
      </c>
      <c r="Q60" s="50">
        <f t="shared" si="2"/>
        <v>46073</v>
      </c>
      <c r="R60" s="17" t="str">
        <f>IF(M60=1,COUNTIFS($Q$2:Q60,Q60,$M$2:M60,1),"")</f>
        <v/>
      </c>
      <c r="S60" s="50" t="str">
        <f t="shared" si="3"/>
        <v/>
      </c>
    </row>
    <row r="61" spans="1:19" ht="45" customHeight="1" x14ac:dyDescent="0.35">
      <c r="A61" s="66">
        <v>46084</v>
      </c>
      <c r="B61" s="67" t="s">
        <v>26</v>
      </c>
      <c r="C61" s="67" t="s">
        <v>82</v>
      </c>
      <c r="D61" s="67" t="s">
        <v>83</v>
      </c>
      <c r="E61" s="67" t="s">
        <v>84</v>
      </c>
      <c r="F61" s="67" t="s">
        <v>136</v>
      </c>
      <c r="G61" s="67" t="s">
        <v>86</v>
      </c>
      <c r="H61" s="67" t="s">
        <v>87</v>
      </c>
      <c r="I61" s="67" t="s">
        <v>50</v>
      </c>
      <c r="J61" s="67" t="s">
        <v>88</v>
      </c>
      <c r="K61" s="67"/>
      <c r="L61" s="68" t="s">
        <v>26</v>
      </c>
      <c r="M61" s="68">
        <f>--AND(Configuración!$B$6&lt;&gt;"",OR(E61="Todas",ISNUMBER(SEARCH(Configuración!$B$7,E61))),IF(L61="Monotributo",Configuración!$B$10="Sí",IF(L61="Autónomos",Configuración!$B$11="Sí",IF(L61="Responsable inscripto",Configuración!$B$12="Sí",IF(L61="Empleador",Configuración!$B$13="Sí",IF(L61="Casas particulares",Configuración!$B$14="Sí",IF(L61="Retenciones",Configuración!$B$15="Sí",IF(L61="Sociedad",Configuración!$B$16="Sí",IF(L61="Persona humana",Configuración!$B$17="Sí",IF(L61="Convenio Multilateral",Configuración!$B$18="Sí",FALSE()))))))))))</f>
        <v>0</v>
      </c>
      <c r="N61" s="68" t="str">
        <f>IF(M61=1,COUNTIF($M$2:M61,1),"")</f>
        <v/>
      </c>
      <c r="O61" s="50">
        <f t="shared" ca="1" si="0"/>
        <v>-169</v>
      </c>
      <c r="P61" s="17" t="str">
        <f t="shared" ca="1" si="1"/>
        <v>Vencido hace 169 días</v>
      </c>
      <c r="Q61" s="50">
        <f t="shared" si="2"/>
        <v>46084</v>
      </c>
      <c r="R61" s="17" t="str">
        <f>IF(M61=1,COUNTIFS($Q$2:Q61,Q61,$M$2:M61,1),"")</f>
        <v/>
      </c>
      <c r="S61" s="50" t="str">
        <f t="shared" si="3"/>
        <v/>
      </c>
    </row>
    <row r="62" spans="1:19" ht="45" customHeight="1" x14ac:dyDescent="0.35">
      <c r="A62" s="66">
        <v>46085</v>
      </c>
      <c r="B62" s="67" t="s">
        <v>26</v>
      </c>
      <c r="C62" s="67" t="s">
        <v>82</v>
      </c>
      <c r="D62" s="67" t="s">
        <v>83</v>
      </c>
      <c r="E62" s="67" t="s">
        <v>89</v>
      </c>
      <c r="F62" s="67" t="s">
        <v>136</v>
      </c>
      <c r="G62" s="67" t="s">
        <v>86</v>
      </c>
      <c r="H62" s="67" t="s">
        <v>87</v>
      </c>
      <c r="I62" s="67" t="s">
        <v>50</v>
      </c>
      <c r="J62" s="67" t="s">
        <v>88</v>
      </c>
      <c r="K62" s="67"/>
      <c r="L62" s="68" t="s">
        <v>26</v>
      </c>
      <c r="M62" s="68">
        <f>--AND(Configuración!$B$6&lt;&gt;"",OR(E62="Todas",ISNUMBER(SEARCH(Configuración!$B$7,E62))),IF(L62="Monotributo",Configuración!$B$10="Sí",IF(L62="Autónomos",Configuración!$B$11="Sí",IF(L62="Responsable inscripto",Configuración!$B$12="Sí",IF(L62="Empleador",Configuración!$B$13="Sí",IF(L62="Casas particulares",Configuración!$B$14="Sí",IF(L62="Retenciones",Configuración!$B$15="Sí",IF(L62="Sociedad",Configuración!$B$16="Sí",IF(L62="Persona humana",Configuración!$B$17="Sí",IF(L62="Convenio Multilateral",Configuración!$B$18="Sí",FALSE()))))))))))</f>
        <v>0</v>
      </c>
      <c r="N62" s="68" t="str">
        <f>IF(M62=1,COUNTIF($M$2:M62,1),"")</f>
        <v/>
      </c>
      <c r="O62" s="50">
        <f t="shared" ca="1" si="0"/>
        <v>-168</v>
      </c>
      <c r="P62" s="17" t="str">
        <f t="shared" ca="1" si="1"/>
        <v>Vencido hace 168 días</v>
      </c>
      <c r="Q62" s="50">
        <f t="shared" si="2"/>
        <v>46085</v>
      </c>
      <c r="R62" s="17" t="str">
        <f>IF(M62=1,COUNTIFS($Q$2:Q62,Q62,$M$2:M62,1),"")</f>
        <v/>
      </c>
      <c r="S62" s="50" t="str">
        <f t="shared" si="3"/>
        <v/>
      </c>
    </row>
    <row r="63" spans="1:19" ht="45" customHeight="1" x14ac:dyDescent="0.35">
      <c r="A63" s="66">
        <v>46085</v>
      </c>
      <c r="B63" s="67" t="s">
        <v>91</v>
      </c>
      <c r="C63" s="67" t="s">
        <v>92</v>
      </c>
      <c r="D63" s="67" t="s">
        <v>93</v>
      </c>
      <c r="E63" s="67" t="s">
        <v>84</v>
      </c>
      <c r="F63" s="67" t="s">
        <v>136</v>
      </c>
      <c r="G63" s="67" t="s">
        <v>94</v>
      </c>
      <c r="H63" s="67" t="s">
        <v>87</v>
      </c>
      <c r="I63" s="67" t="s">
        <v>50</v>
      </c>
      <c r="J63" s="67" t="s">
        <v>88</v>
      </c>
      <c r="K63" s="67"/>
      <c r="L63" s="68" t="s">
        <v>95</v>
      </c>
      <c r="M63" s="68">
        <f>--AND(Configuración!$B$6&lt;&gt;"",OR(E63="Todas",ISNUMBER(SEARCH(Configuración!$B$7,E63))),IF(L63="Monotributo",Configuración!$B$10="Sí",IF(L63="Autónomos",Configuración!$B$11="Sí",IF(L63="Responsable inscripto",Configuración!$B$12="Sí",IF(L63="Empleador",Configuración!$B$13="Sí",IF(L63="Casas particulares",Configuración!$B$14="Sí",IF(L63="Retenciones",Configuración!$B$15="Sí",IF(L63="Sociedad",Configuración!$B$16="Sí",IF(L63="Persona humana",Configuración!$B$17="Sí",IF(L63="Convenio Multilateral",Configuración!$B$18="Sí",FALSE()))))))))))</f>
        <v>0</v>
      </c>
      <c r="N63" s="68" t="str">
        <f>IF(M63=1,COUNTIF($M$2:M63,1),"")</f>
        <v/>
      </c>
      <c r="O63" s="50">
        <f t="shared" ca="1" si="0"/>
        <v>-168</v>
      </c>
      <c r="P63" s="17" t="str">
        <f t="shared" ca="1" si="1"/>
        <v>Vencido hace 168 días</v>
      </c>
      <c r="Q63" s="50">
        <f t="shared" si="2"/>
        <v>46085</v>
      </c>
      <c r="R63" s="17" t="str">
        <f>IF(M63=1,COUNTIFS($Q$2:Q63,Q63,$M$2:M63,1),"")</f>
        <v/>
      </c>
      <c r="S63" s="50" t="str">
        <f t="shared" si="3"/>
        <v/>
      </c>
    </row>
    <row r="64" spans="1:19" ht="45" customHeight="1" x14ac:dyDescent="0.35">
      <c r="A64" s="66">
        <v>46086</v>
      </c>
      <c r="B64" s="67" t="s">
        <v>26</v>
      </c>
      <c r="C64" s="67" t="s">
        <v>82</v>
      </c>
      <c r="D64" s="67" t="s">
        <v>83</v>
      </c>
      <c r="E64" s="67" t="s">
        <v>90</v>
      </c>
      <c r="F64" s="67" t="s">
        <v>136</v>
      </c>
      <c r="G64" s="67" t="s">
        <v>86</v>
      </c>
      <c r="H64" s="67" t="s">
        <v>87</v>
      </c>
      <c r="I64" s="67" t="s">
        <v>50</v>
      </c>
      <c r="J64" s="67" t="s">
        <v>88</v>
      </c>
      <c r="K64" s="67"/>
      <c r="L64" s="68" t="s">
        <v>26</v>
      </c>
      <c r="M64" s="68">
        <f>--AND(Configuración!$B$6&lt;&gt;"",OR(E64="Todas",ISNUMBER(SEARCH(Configuración!$B$7,E64))),IF(L64="Monotributo",Configuración!$B$10="Sí",IF(L64="Autónomos",Configuración!$B$11="Sí",IF(L64="Responsable inscripto",Configuración!$B$12="Sí",IF(L64="Empleador",Configuración!$B$13="Sí",IF(L64="Casas particulares",Configuración!$B$14="Sí",IF(L64="Retenciones",Configuración!$B$15="Sí",IF(L64="Sociedad",Configuración!$B$16="Sí",IF(L64="Persona humana",Configuración!$B$17="Sí",IF(L64="Convenio Multilateral",Configuración!$B$18="Sí",FALSE()))))))))))</f>
        <v>0</v>
      </c>
      <c r="N64" s="68" t="str">
        <f>IF(M64=1,COUNTIF($M$2:M64,1),"")</f>
        <v/>
      </c>
      <c r="O64" s="50">
        <f t="shared" ca="1" si="0"/>
        <v>-167</v>
      </c>
      <c r="P64" s="17" t="str">
        <f t="shared" ca="1" si="1"/>
        <v>Vencido hace 167 días</v>
      </c>
      <c r="Q64" s="50">
        <f t="shared" si="2"/>
        <v>46086</v>
      </c>
      <c r="R64" s="17" t="str">
        <f>IF(M64=1,COUNTIFS($Q$2:Q64,Q64,$M$2:M64,1),"")</f>
        <v/>
      </c>
      <c r="S64" s="50" t="str">
        <f t="shared" si="3"/>
        <v/>
      </c>
    </row>
    <row r="65" spans="1:19" ht="45" customHeight="1" x14ac:dyDescent="0.35">
      <c r="A65" s="66">
        <v>46086</v>
      </c>
      <c r="B65" s="67" t="s">
        <v>91</v>
      </c>
      <c r="C65" s="67" t="s">
        <v>92</v>
      </c>
      <c r="D65" s="67" t="s">
        <v>93</v>
      </c>
      <c r="E65" s="67" t="s">
        <v>89</v>
      </c>
      <c r="F65" s="67" t="s">
        <v>136</v>
      </c>
      <c r="G65" s="67" t="s">
        <v>94</v>
      </c>
      <c r="H65" s="67" t="s">
        <v>87</v>
      </c>
      <c r="I65" s="67" t="s">
        <v>50</v>
      </c>
      <c r="J65" s="67" t="s">
        <v>88</v>
      </c>
      <c r="K65" s="67"/>
      <c r="L65" s="68" t="s">
        <v>95</v>
      </c>
      <c r="M65" s="68">
        <f>--AND(Configuración!$B$6&lt;&gt;"",OR(E65="Todas",ISNUMBER(SEARCH(Configuración!$B$7,E65))),IF(L65="Monotributo",Configuración!$B$10="Sí",IF(L65="Autónomos",Configuración!$B$11="Sí",IF(L65="Responsable inscripto",Configuración!$B$12="Sí",IF(L65="Empleador",Configuración!$B$13="Sí",IF(L65="Casas particulares",Configuración!$B$14="Sí",IF(L65="Retenciones",Configuración!$B$15="Sí",IF(L65="Sociedad",Configuración!$B$16="Sí",IF(L65="Persona humana",Configuración!$B$17="Sí",IF(L65="Convenio Multilateral",Configuración!$B$18="Sí",FALSE()))))))))))</f>
        <v>0</v>
      </c>
      <c r="N65" s="68" t="str">
        <f>IF(M65=1,COUNTIF($M$2:M65,1),"")</f>
        <v/>
      </c>
      <c r="O65" s="50">
        <f t="shared" ca="1" si="0"/>
        <v>-167</v>
      </c>
      <c r="P65" s="17" t="str">
        <f t="shared" ca="1" si="1"/>
        <v>Vencido hace 167 días</v>
      </c>
      <c r="Q65" s="50">
        <f t="shared" si="2"/>
        <v>46086</v>
      </c>
      <c r="R65" s="17" t="str">
        <f>IF(M65=1,COUNTIFS($Q$2:Q65,Q65,$M$2:M65,1),"")</f>
        <v/>
      </c>
      <c r="S65" s="50" t="str">
        <f t="shared" si="3"/>
        <v/>
      </c>
    </row>
    <row r="66" spans="1:19" ht="45" customHeight="1" x14ac:dyDescent="0.35">
      <c r="A66" s="66">
        <v>46087</v>
      </c>
      <c r="B66" s="67" t="s">
        <v>91</v>
      </c>
      <c r="C66" s="67" t="s">
        <v>92</v>
      </c>
      <c r="D66" s="67" t="s">
        <v>93</v>
      </c>
      <c r="E66" s="67" t="s">
        <v>90</v>
      </c>
      <c r="F66" s="67" t="s">
        <v>136</v>
      </c>
      <c r="G66" s="67" t="s">
        <v>94</v>
      </c>
      <c r="H66" s="67" t="s">
        <v>87</v>
      </c>
      <c r="I66" s="67" t="s">
        <v>50</v>
      </c>
      <c r="J66" s="67" t="s">
        <v>88</v>
      </c>
      <c r="K66" s="67"/>
      <c r="L66" s="68" t="s">
        <v>95</v>
      </c>
      <c r="M66" s="68">
        <f>--AND(Configuración!$B$6&lt;&gt;"",OR(E66="Todas",ISNUMBER(SEARCH(Configuración!$B$7,E66))),IF(L66="Monotributo",Configuración!$B$10="Sí",IF(L66="Autónomos",Configuración!$B$11="Sí",IF(L66="Responsable inscripto",Configuración!$B$12="Sí",IF(L66="Empleador",Configuración!$B$13="Sí",IF(L66="Casas particulares",Configuración!$B$14="Sí",IF(L66="Retenciones",Configuración!$B$15="Sí",IF(L66="Sociedad",Configuración!$B$16="Sí",IF(L66="Persona humana",Configuración!$B$17="Sí",IF(L66="Convenio Multilateral",Configuración!$B$18="Sí",FALSE()))))))))))</f>
        <v>0</v>
      </c>
      <c r="N66" s="68" t="str">
        <f>IF(M66=1,COUNTIF($M$2:M66,1),"")</f>
        <v/>
      </c>
      <c r="O66" s="50">
        <f t="shared" ref="O66:O129" ca="1" si="4">IFERROR(INT(A66)-TODAY(),"")</f>
        <v>-166</v>
      </c>
      <c r="P66" s="17" t="str">
        <f t="shared" ref="P66:P129" ca="1" si="5">IF(A66="","",IF(O66&lt;0,"Vencido hace "&amp;-O66&amp;IF(O66=-1," día"," días"),IF(O66=0,"Vence hoy",IF(O66=1,"Vence mañana","Faltan "&amp;O66&amp;" días"))))</f>
        <v>Vencido hace 166 días</v>
      </c>
      <c r="Q66" s="50">
        <f t="shared" ref="Q66:Q129" si="6">IF(A66="","",INT(A66))</f>
        <v>46087</v>
      </c>
      <c r="R66" s="17" t="str">
        <f>IF(M66=1,COUNTIFS($Q$2:Q66,Q66,$M$2:M66,1),"")</f>
        <v/>
      </c>
      <c r="S66" s="50" t="str">
        <f t="shared" ref="S66:S129" si="7">IF(M66=1,Q66*10+R66,"")</f>
        <v/>
      </c>
    </row>
    <row r="67" spans="1:19" ht="45" customHeight="1" x14ac:dyDescent="0.35">
      <c r="A67" s="66">
        <v>46090</v>
      </c>
      <c r="B67" s="67" t="s">
        <v>96</v>
      </c>
      <c r="C67" s="67" t="s">
        <v>97</v>
      </c>
      <c r="D67" s="67" t="s">
        <v>98</v>
      </c>
      <c r="E67" s="67" t="s">
        <v>84</v>
      </c>
      <c r="F67" s="67" t="s">
        <v>136</v>
      </c>
      <c r="G67" s="67" t="s">
        <v>94</v>
      </c>
      <c r="H67" s="67" t="s">
        <v>87</v>
      </c>
      <c r="I67" s="67" t="s">
        <v>50</v>
      </c>
      <c r="J67" s="67" t="s">
        <v>88</v>
      </c>
      <c r="K67" s="67"/>
      <c r="L67" s="68" t="s">
        <v>99</v>
      </c>
      <c r="M67" s="68">
        <f>--AND(Configuración!$B$6&lt;&gt;"",OR(E67="Todas",ISNUMBER(SEARCH(Configuración!$B$7,E67))),IF(L67="Monotributo",Configuración!$B$10="Sí",IF(L67="Autónomos",Configuración!$B$11="Sí",IF(L67="Responsable inscripto",Configuración!$B$12="Sí",IF(L67="Empleador",Configuración!$B$13="Sí",IF(L67="Casas particulares",Configuración!$B$14="Sí",IF(L67="Retenciones",Configuración!$B$15="Sí",IF(L67="Sociedad",Configuración!$B$16="Sí",IF(L67="Persona humana",Configuración!$B$17="Sí",IF(L67="Convenio Multilateral",Configuración!$B$18="Sí",FALSE()))))))))))</f>
        <v>0</v>
      </c>
      <c r="N67" s="68" t="str">
        <f>IF(M67=1,COUNTIF($M$2:M67,1),"")</f>
        <v/>
      </c>
      <c r="O67" s="50">
        <f t="shared" ca="1" si="4"/>
        <v>-163</v>
      </c>
      <c r="P67" s="17" t="str">
        <f t="shared" ca="1" si="5"/>
        <v>Vencido hace 163 días</v>
      </c>
      <c r="Q67" s="50">
        <f t="shared" si="6"/>
        <v>46090</v>
      </c>
      <c r="R67" s="17" t="str">
        <f>IF(M67=1,COUNTIFS($Q$2:Q67,Q67,$M$2:M67,1),"")</f>
        <v/>
      </c>
      <c r="S67" s="50" t="str">
        <f t="shared" si="7"/>
        <v/>
      </c>
    </row>
    <row r="68" spans="1:19" ht="45" customHeight="1" x14ac:dyDescent="0.35">
      <c r="A68" s="66">
        <v>46090</v>
      </c>
      <c r="B68" s="67" t="s">
        <v>96</v>
      </c>
      <c r="C68" s="67" t="s">
        <v>97</v>
      </c>
      <c r="D68" s="67" t="s">
        <v>98</v>
      </c>
      <c r="E68" s="67" t="s">
        <v>89</v>
      </c>
      <c r="F68" s="67" t="s">
        <v>136</v>
      </c>
      <c r="G68" s="67" t="s">
        <v>94</v>
      </c>
      <c r="H68" s="67" t="s">
        <v>87</v>
      </c>
      <c r="I68" s="67" t="s">
        <v>50</v>
      </c>
      <c r="J68" s="67" t="s">
        <v>88</v>
      </c>
      <c r="K68" s="67"/>
      <c r="L68" s="68" t="s">
        <v>99</v>
      </c>
      <c r="M68" s="68">
        <f>--AND(Configuración!$B$6&lt;&gt;"",OR(E68="Todas",ISNUMBER(SEARCH(Configuración!$B$7,E68))),IF(L68="Monotributo",Configuración!$B$10="Sí",IF(L68="Autónomos",Configuración!$B$11="Sí",IF(L68="Responsable inscripto",Configuración!$B$12="Sí",IF(L68="Empleador",Configuración!$B$13="Sí",IF(L68="Casas particulares",Configuración!$B$14="Sí",IF(L68="Retenciones",Configuración!$B$15="Sí",IF(L68="Sociedad",Configuración!$B$16="Sí",IF(L68="Persona humana",Configuración!$B$17="Sí",IF(L68="Convenio Multilateral",Configuración!$B$18="Sí",FALSE()))))))))))</f>
        <v>0</v>
      </c>
      <c r="N68" s="68" t="str">
        <f>IF(M68=1,COUNTIF($M$2:M68,1),"")</f>
        <v/>
      </c>
      <c r="O68" s="50">
        <f t="shared" ca="1" si="4"/>
        <v>-163</v>
      </c>
      <c r="P68" s="17" t="str">
        <f t="shared" ca="1" si="5"/>
        <v>Vencido hace 163 días</v>
      </c>
      <c r="Q68" s="50">
        <f t="shared" si="6"/>
        <v>46090</v>
      </c>
      <c r="R68" s="17" t="str">
        <f>IF(M68=1,COUNTIFS($Q$2:Q68,Q68,$M$2:M68,1),"")</f>
        <v/>
      </c>
      <c r="S68" s="50" t="str">
        <f t="shared" si="7"/>
        <v/>
      </c>
    </row>
    <row r="69" spans="1:19" ht="45" customHeight="1" x14ac:dyDescent="0.35">
      <c r="A69" s="66">
        <v>46090</v>
      </c>
      <c r="B69" s="67" t="s">
        <v>96</v>
      </c>
      <c r="C69" s="67" t="s">
        <v>97</v>
      </c>
      <c r="D69" s="67" t="s">
        <v>98</v>
      </c>
      <c r="E69" s="67" t="s">
        <v>90</v>
      </c>
      <c r="F69" s="67" t="s">
        <v>136</v>
      </c>
      <c r="G69" s="67" t="s">
        <v>94</v>
      </c>
      <c r="H69" s="67" t="s">
        <v>87</v>
      </c>
      <c r="I69" s="67" t="s">
        <v>50</v>
      </c>
      <c r="J69" s="67" t="s">
        <v>88</v>
      </c>
      <c r="K69" s="67"/>
      <c r="L69" s="68" t="s">
        <v>99</v>
      </c>
      <c r="M69" s="68">
        <f>--AND(Configuración!$B$6&lt;&gt;"",OR(E69="Todas",ISNUMBER(SEARCH(Configuración!$B$7,E69))),IF(L69="Monotributo",Configuración!$B$10="Sí",IF(L69="Autónomos",Configuración!$B$11="Sí",IF(L69="Responsable inscripto",Configuración!$B$12="Sí",IF(L69="Empleador",Configuración!$B$13="Sí",IF(L69="Casas particulares",Configuración!$B$14="Sí",IF(L69="Retenciones",Configuración!$B$15="Sí",IF(L69="Sociedad",Configuración!$B$16="Sí",IF(L69="Persona humana",Configuración!$B$17="Sí",IF(L69="Convenio Multilateral",Configuración!$B$18="Sí",FALSE()))))))))))</f>
        <v>0</v>
      </c>
      <c r="N69" s="68" t="str">
        <f>IF(M69=1,COUNTIF($M$2:M69,1),"")</f>
        <v/>
      </c>
      <c r="O69" s="50">
        <f t="shared" ca="1" si="4"/>
        <v>-163</v>
      </c>
      <c r="P69" s="17" t="str">
        <f t="shared" ca="1" si="5"/>
        <v>Vencido hace 163 días</v>
      </c>
      <c r="Q69" s="50">
        <f t="shared" si="6"/>
        <v>46090</v>
      </c>
      <c r="R69" s="17" t="str">
        <f>IF(M69=1,COUNTIFS($Q$2:Q69,Q69,$M$2:M69,1),"")</f>
        <v/>
      </c>
      <c r="S69" s="50" t="str">
        <f t="shared" si="7"/>
        <v/>
      </c>
    </row>
    <row r="70" spans="1:19" ht="45" customHeight="1" x14ac:dyDescent="0.35">
      <c r="A70" s="66">
        <v>46090</v>
      </c>
      <c r="B70" s="67" t="s">
        <v>100</v>
      </c>
      <c r="C70" s="67" t="s">
        <v>101</v>
      </c>
      <c r="D70" s="67" t="s">
        <v>93</v>
      </c>
      <c r="E70" s="67" t="s">
        <v>84</v>
      </c>
      <c r="F70" s="67" t="s">
        <v>136</v>
      </c>
      <c r="G70" s="67" t="s">
        <v>94</v>
      </c>
      <c r="H70" s="67" t="s">
        <v>87</v>
      </c>
      <c r="I70" s="67" t="s">
        <v>50</v>
      </c>
      <c r="J70" s="67" t="s">
        <v>88</v>
      </c>
      <c r="K70" s="67"/>
      <c r="L70" s="68" t="s">
        <v>95</v>
      </c>
      <c r="M70" s="68">
        <f>--AND(Configuración!$B$6&lt;&gt;"",OR(E70="Todas",ISNUMBER(SEARCH(Configuración!$B$7,E70))),IF(L70="Monotributo",Configuración!$B$10="Sí",IF(L70="Autónomos",Configuración!$B$11="Sí",IF(L70="Responsable inscripto",Configuración!$B$12="Sí",IF(L70="Empleador",Configuración!$B$13="Sí",IF(L70="Casas particulares",Configuración!$B$14="Sí",IF(L70="Retenciones",Configuración!$B$15="Sí",IF(L70="Sociedad",Configuración!$B$16="Sí",IF(L70="Persona humana",Configuración!$B$17="Sí",IF(L70="Convenio Multilateral",Configuración!$B$18="Sí",FALSE()))))))))))</f>
        <v>0</v>
      </c>
      <c r="N70" s="68" t="str">
        <f>IF(M70=1,COUNTIF($M$2:M70,1),"")</f>
        <v/>
      </c>
      <c r="O70" s="50">
        <f t="shared" ca="1" si="4"/>
        <v>-163</v>
      </c>
      <c r="P70" s="17" t="str">
        <f t="shared" ca="1" si="5"/>
        <v>Vencido hace 163 días</v>
      </c>
      <c r="Q70" s="50">
        <f t="shared" si="6"/>
        <v>46090</v>
      </c>
      <c r="R70" s="17" t="str">
        <f>IF(M70=1,COUNTIFS($Q$2:Q70,Q70,$M$2:M70,1),"")</f>
        <v/>
      </c>
      <c r="S70" s="50" t="str">
        <f t="shared" si="7"/>
        <v/>
      </c>
    </row>
    <row r="71" spans="1:19" ht="45" customHeight="1" x14ac:dyDescent="0.35">
      <c r="A71" s="66">
        <v>46091</v>
      </c>
      <c r="B71" s="67" t="s">
        <v>29</v>
      </c>
      <c r="C71" s="67" t="s">
        <v>102</v>
      </c>
      <c r="D71" s="67" t="s">
        <v>103</v>
      </c>
      <c r="E71" s="67" t="s">
        <v>104</v>
      </c>
      <c r="F71" s="67" t="s">
        <v>136</v>
      </c>
      <c r="G71" s="67" t="s">
        <v>86</v>
      </c>
      <c r="H71" s="67" t="s">
        <v>87</v>
      </c>
      <c r="I71" s="67" t="s">
        <v>50</v>
      </c>
      <c r="J71" s="67" t="s">
        <v>88</v>
      </c>
      <c r="K71" s="67"/>
      <c r="L71" s="68" t="s">
        <v>29</v>
      </c>
      <c r="M71" s="68">
        <f>--AND(Configuración!$B$6&lt;&gt;"",OR(E71="Todas",ISNUMBER(SEARCH(Configuración!$B$7,E71))),IF(L71="Monotributo",Configuración!$B$10="Sí",IF(L71="Autónomos",Configuración!$B$11="Sí",IF(L71="Responsable inscripto",Configuración!$B$12="Sí",IF(L71="Empleador",Configuración!$B$13="Sí",IF(L71="Casas particulares",Configuración!$B$14="Sí",IF(L71="Retenciones",Configuración!$B$15="Sí",IF(L71="Sociedad",Configuración!$B$16="Sí",IF(L71="Persona humana",Configuración!$B$17="Sí",IF(L71="Convenio Multilateral",Configuración!$B$18="Sí",FALSE()))))))))))</f>
        <v>0</v>
      </c>
      <c r="N71" s="68" t="str">
        <f>IF(M71=1,COUNTIF($M$2:M71,1),"")</f>
        <v/>
      </c>
      <c r="O71" s="50">
        <f t="shared" ca="1" si="4"/>
        <v>-162</v>
      </c>
      <c r="P71" s="17" t="str">
        <f t="shared" ca="1" si="5"/>
        <v>Vencido hace 162 días</v>
      </c>
      <c r="Q71" s="50">
        <f t="shared" si="6"/>
        <v>46091</v>
      </c>
      <c r="R71" s="17" t="str">
        <f>IF(M71=1,COUNTIFS($Q$2:Q71,Q71,$M$2:M71,1),"")</f>
        <v/>
      </c>
      <c r="S71" s="50" t="str">
        <f t="shared" si="7"/>
        <v/>
      </c>
    </row>
    <row r="72" spans="1:19" ht="45" customHeight="1" x14ac:dyDescent="0.35">
      <c r="A72" s="66">
        <v>46091</v>
      </c>
      <c r="B72" s="67" t="s">
        <v>100</v>
      </c>
      <c r="C72" s="67" t="s">
        <v>101</v>
      </c>
      <c r="D72" s="67" t="s">
        <v>93</v>
      </c>
      <c r="E72" s="67" t="s">
        <v>89</v>
      </c>
      <c r="F72" s="67" t="s">
        <v>136</v>
      </c>
      <c r="G72" s="67" t="s">
        <v>94</v>
      </c>
      <c r="H72" s="67" t="s">
        <v>87</v>
      </c>
      <c r="I72" s="67" t="s">
        <v>50</v>
      </c>
      <c r="J72" s="67" t="s">
        <v>88</v>
      </c>
      <c r="K72" s="67"/>
      <c r="L72" s="68" t="s">
        <v>95</v>
      </c>
      <c r="M72" s="68">
        <f>--AND(Configuración!$B$6&lt;&gt;"",OR(E72="Todas",ISNUMBER(SEARCH(Configuración!$B$7,E72))),IF(L72="Monotributo",Configuración!$B$10="Sí",IF(L72="Autónomos",Configuración!$B$11="Sí",IF(L72="Responsable inscripto",Configuración!$B$12="Sí",IF(L72="Empleador",Configuración!$B$13="Sí",IF(L72="Casas particulares",Configuración!$B$14="Sí",IF(L72="Retenciones",Configuración!$B$15="Sí",IF(L72="Sociedad",Configuración!$B$16="Sí",IF(L72="Persona humana",Configuración!$B$17="Sí",IF(L72="Convenio Multilateral",Configuración!$B$18="Sí",FALSE()))))))))))</f>
        <v>0</v>
      </c>
      <c r="N72" s="68" t="str">
        <f>IF(M72=1,COUNTIF($M$2:M72,1),"")</f>
        <v/>
      </c>
      <c r="O72" s="50">
        <f t="shared" ca="1" si="4"/>
        <v>-162</v>
      </c>
      <c r="P72" s="17" t="str">
        <f t="shared" ca="1" si="5"/>
        <v>Vencido hace 162 días</v>
      </c>
      <c r="Q72" s="50">
        <f t="shared" si="6"/>
        <v>46091</v>
      </c>
      <c r="R72" s="17" t="str">
        <f>IF(M72=1,COUNTIFS($Q$2:Q72,Q72,$M$2:M72,1),"")</f>
        <v/>
      </c>
      <c r="S72" s="50" t="str">
        <f t="shared" si="7"/>
        <v/>
      </c>
    </row>
    <row r="73" spans="1:19" ht="45" customHeight="1" x14ac:dyDescent="0.35">
      <c r="A73" s="66">
        <v>46092</v>
      </c>
      <c r="B73" s="67" t="s">
        <v>100</v>
      </c>
      <c r="C73" s="67" t="s">
        <v>101</v>
      </c>
      <c r="D73" s="67" t="s">
        <v>93</v>
      </c>
      <c r="E73" s="67" t="s">
        <v>90</v>
      </c>
      <c r="F73" s="67" t="s">
        <v>136</v>
      </c>
      <c r="G73" s="67" t="s">
        <v>94</v>
      </c>
      <c r="H73" s="67" t="s">
        <v>87</v>
      </c>
      <c r="I73" s="67" t="s">
        <v>50</v>
      </c>
      <c r="J73" s="67" t="s">
        <v>88</v>
      </c>
      <c r="K73" s="67"/>
      <c r="L73" s="68" t="s">
        <v>95</v>
      </c>
      <c r="M73" s="68">
        <f>--AND(Configuración!$B$6&lt;&gt;"",OR(E73="Todas",ISNUMBER(SEARCH(Configuración!$B$7,E73))),IF(L73="Monotributo",Configuración!$B$10="Sí",IF(L73="Autónomos",Configuración!$B$11="Sí",IF(L73="Responsable inscripto",Configuración!$B$12="Sí",IF(L73="Empleador",Configuración!$B$13="Sí",IF(L73="Casas particulares",Configuración!$B$14="Sí",IF(L73="Retenciones",Configuración!$B$15="Sí",IF(L73="Sociedad",Configuración!$B$16="Sí",IF(L73="Persona humana",Configuración!$B$17="Sí",IF(L73="Convenio Multilateral",Configuración!$B$18="Sí",FALSE()))))))))))</f>
        <v>0</v>
      </c>
      <c r="N73" s="68" t="str">
        <f>IF(M73=1,COUNTIF($M$2:M73,1),"")</f>
        <v/>
      </c>
      <c r="O73" s="50">
        <f t="shared" ca="1" si="4"/>
        <v>-161</v>
      </c>
      <c r="P73" s="17" t="str">
        <f t="shared" ca="1" si="5"/>
        <v>Vencido hace 161 días</v>
      </c>
      <c r="Q73" s="50">
        <f t="shared" si="6"/>
        <v>46092</v>
      </c>
      <c r="R73" s="17" t="str">
        <f>IF(M73=1,COUNTIFS($Q$2:Q73,Q73,$M$2:M73,1),"")</f>
        <v/>
      </c>
      <c r="S73" s="50" t="str">
        <f t="shared" si="7"/>
        <v/>
      </c>
    </row>
    <row r="74" spans="1:19" ht="45" customHeight="1" x14ac:dyDescent="0.35">
      <c r="A74" s="66">
        <v>46094.625</v>
      </c>
      <c r="B74" s="67" t="s">
        <v>105</v>
      </c>
      <c r="C74" s="67" t="s">
        <v>106</v>
      </c>
      <c r="D74" s="67" t="s">
        <v>107</v>
      </c>
      <c r="E74" s="67" t="s">
        <v>84</v>
      </c>
      <c r="F74" s="67" t="s">
        <v>148</v>
      </c>
      <c r="G74" s="67" t="s">
        <v>109</v>
      </c>
      <c r="H74" s="67" t="s">
        <v>87</v>
      </c>
      <c r="I74" s="67" t="s">
        <v>50</v>
      </c>
      <c r="J74" s="67" t="s">
        <v>110</v>
      </c>
      <c r="K74" s="67" t="s">
        <v>111</v>
      </c>
      <c r="L74" s="68" t="s">
        <v>112</v>
      </c>
      <c r="M74" s="68">
        <f>--AND(Configuración!$B$6&lt;&gt;"",OR(E74="Todas",ISNUMBER(SEARCH(Configuración!$B$7,E74))),IF(L74="Monotributo",Configuración!$B$10="Sí",IF(L74="Autónomos",Configuración!$B$11="Sí",IF(L74="Responsable inscripto",Configuración!$B$12="Sí",IF(L74="Empleador",Configuración!$B$13="Sí",IF(L74="Casas particulares",Configuración!$B$14="Sí",IF(L74="Retenciones",Configuración!$B$15="Sí",IF(L74="Sociedad",Configuración!$B$16="Sí",IF(L74="Persona humana",Configuración!$B$17="Sí",IF(L74="Convenio Multilateral",Configuración!$B$18="Sí",FALSE()))))))))))</f>
        <v>0</v>
      </c>
      <c r="N74" s="68" t="str">
        <f>IF(M74=1,COUNTIF($M$2:M74,1),"")</f>
        <v/>
      </c>
      <c r="O74" s="50">
        <f t="shared" ca="1" si="4"/>
        <v>-159</v>
      </c>
      <c r="P74" s="17" t="str">
        <f t="shared" ca="1" si="5"/>
        <v>Vencido hace 159 días</v>
      </c>
      <c r="Q74" s="50">
        <f t="shared" si="6"/>
        <v>46094</v>
      </c>
      <c r="R74" s="17" t="str">
        <f>IF(M74=1,COUNTIFS($Q$2:Q74,Q74,$M$2:M74,1),"")</f>
        <v/>
      </c>
      <c r="S74" s="50" t="str">
        <f t="shared" si="7"/>
        <v/>
      </c>
    </row>
    <row r="75" spans="1:19" ht="45" customHeight="1" x14ac:dyDescent="0.35">
      <c r="A75" s="66">
        <v>46094.625</v>
      </c>
      <c r="B75" s="67" t="s">
        <v>137</v>
      </c>
      <c r="C75" s="67" t="s">
        <v>138</v>
      </c>
      <c r="D75" s="67" t="s">
        <v>139</v>
      </c>
      <c r="E75" s="67" t="s">
        <v>140</v>
      </c>
      <c r="F75" s="67" t="s">
        <v>149</v>
      </c>
      <c r="G75" s="67" t="s">
        <v>94</v>
      </c>
      <c r="H75" s="67" t="s">
        <v>142</v>
      </c>
      <c r="I75" s="67" t="s">
        <v>50</v>
      </c>
      <c r="J75" s="67" t="s">
        <v>150</v>
      </c>
      <c r="K75" s="67" t="s">
        <v>151</v>
      </c>
      <c r="L75" s="68" t="s">
        <v>33</v>
      </c>
      <c r="M75" s="68">
        <f>--AND(Configuración!$B$6&lt;&gt;"",OR(E75="Todas",ISNUMBER(SEARCH(Configuración!$B$7,E75))),IF(L75="Monotributo",Configuración!$B$10="Sí",IF(L75="Autónomos",Configuración!$B$11="Sí",IF(L75="Responsable inscripto",Configuración!$B$12="Sí",IF(L75="Empleador",Configuración!$B$13="Sí",IF(L75="Casas particulares",Configuración!$B$14="Sí",IF(L75="Retenciones",Configuración!$B$15="Sí",IF(L75="Sociedad",Configuración!$B$16="Sí",IF(L75="Persona humana",Configuración!$B$17="Sí",IF(L75="Convenio Multilateral",Configuración!$B$18="Sí",FALSE()))))))))))</f>
        <v>0</v>
      </c>
      <c r="N75" s="68" t="str">
        <f>IF(M75=1,COUNTIF($M$2:M75,1),"")</f>
        <v/>
      </c>
      <c r="O75" s="50">
        <f t="shared" ca="1" si="4"/>
        <v>-159</v>
      </c>
      <c r="P75" s="17" t="str">
        <f t="shared" ca="1" si="5"/>
        <v>Vencido hace 159 días</v>
      </c>
      <c r="Q75" s="50">
        <f t="shared" si="6"/>
        <v>46094</v>
      </c>
      <c r="R75" s="17" t="str">
        <f>IF(M75=1,COUNTIFS($Q$2:Q75,Q75,$M$2:M75,1),"")</f>
        <v/>
      </c>
      <c r="S75" s="50" t="str">
        <f t="shared" si="7"/>
        <v/>
      </c>
    </row>
    <row r="76" spans="1:19" ht="45" customHeight="1" x14ac:dyDescent="0.35">
      <c r="A76" s="66">
        <v>46097</v>
      </c>
      <c r="B76" s="67" t="s">
        <v>29</v>
      </c>
      <c r="C76" s="67" t="s">
        <v>113</v>
      </c>
      <c r="D76" s="67" t="s">
        <v>114</v>
      </c>
      <c r="E76" s="67" t="s">
        <v>104</v>
      </c>
      <c r="F76" s="67" t="s">
        <v>136</v>
      </c>
      <c r="G76" s="67" t="s">
        <v>86</v>
      </c>
      <c r="H76" s="67" t="s">
        <v>87</v>
      </c>
      <c r="I76" s="67" t="s">
        <v>50</v>
      </c>
      <c r="J76" s="67" t="s">
        <v>88</v>
      </c>
      <c r="K76" s="67"/>
      <c r="L76" s="68" t="s">
        <v>29</v>
      </c>
      <c r="M76" s="68">
        <f>--AND(Configuración!$B$6&lt;&gt;"",OR(E76="Todas",ISNUMBER(SEARCH(Configuración!$B$7,E76))),IF(L76="Monotributo",Configuración!$B$10="Sí",IF(L76="Autónomos",Configuración!$B$11="Sí",IF(L76="Responsable inscripto",Configuración!$B$12="Sí",IF(L76="Empleador",Configuración!$B$13="Sí",IF(L76="Casas particulares",Configuración!$B$14="Sí",IF(L76="Retenciones",Configuración!$B$15="Sí",IF(L76="Sociedad",Configuración!$B$16="Sí",IF(L76="Persona humana",Configuración!$B$17="Sí",IF(L76="Convenio Multilateral",Configuración!$B$18="Sí",FALSE()))))))))))</f>
        <v>0</v>
      </c>
      <c r="N76" s="68" t="str">
        <f>IF(M76=1,COUNTIF($M$2:M76,1),"")</f>
        <v/>
      </c>
      <c r="O76" s="50">
        <f t="shared" ca="1" si="4"/>
        <v>-156</v>
      </c>
      <c r="P76" s="17" t="str">
        <f t="shared" ca="1" si="5"/>
        <v>Vencido hace 156 días</v>
      </c>
      <c r="Q76" s="50">
        <f t="shared" si="6"/>
        <v>46097</v>
      </c>
      <c r="R76" s="17" t="str">
        <f>IF(M76=1,COUNTIFS($Q$2:Q76,Q76,$M$2:M76,1),"")</f>
        <v/>
      </c>
      <c r="S76" s="50" t="str">
        <f t="shared" si="7"/>
        <v/>
      </c>
    </row>
    <row r="77" spans="1:19" ht="45" customHeight="1" x14ac:dyDescent="0.35">
      <c r="A77" s="66">
        <v>46097.625</v>
      </c>
      <c r="B77" s="67" t="s">
        <v>105</v>
      </c>
      <c r="C77" s="67" t="s">
        <v>106</v>
      </c>
      <c r="D77" s="67" t="s">
        <v>107</v>
      </c>
      <c r="E77" s="67" t="s">
        <v>89</v>
      </c>
      <c r="F77" s="67" t="s">
        <v>148</v>
      </c>
      <c r="G77" s="67" t="s">
        <v>109</v>
      </c>
      <c r="H77" s="67" t="s">
        <v>87</v>
      </c>
      <c r="I77" s="67" t="s">
        <v>50</v>
      </c>
      <c r="J77" s="67" t="s">
        <v>110</v>
      </c>
      <c r="K77" s="67" t="s">
        <v>111</v>
      </c>
      <c r="L77" s="68" t="s">
        <v>112</v>
      </c>
      <c r="M77" s="68">
        <f>--AND(Configuración!$B$6&lt;&gt;"",OR(E77="Todas",ISNUMBER(SEARCH(Configuración!$B$7,E77))),IF(L77="Monotributo",Configuración!$B$10="Sí",IF(L77="Autónomos",Configuración!$B$11="Sí",IF(L77="Responsable inscripto",Configuración!$B$12="Sí",IF(L77="Empleador",Configuración!$B$13="Sí",IF(L77="Casas particulares",Configuración!$B$14="Sí",IF(L77="Retenciones",Configuración!$B$15="Sí",IF(L77="Sociedad",Configuración!$B$16="Sí",IF(L77="Persona humana",Configuración!$B$17="Sí",IF(L77="Convenio Multilateral",Configuración!$B$18="Sí",FALSE()))))))))))</f>
        <v>0</v>
      </c>
      <c r="N77" s="68" t="str">
        <f>IF(M77=1,COUNTIF($M$2:M77,1),"")</f>
        <v/>
      </c>
      <c r="O77" s="50">
        <f t="shared" ca="1" si="4"/>
        <v>-156</v>
      </c>
      <c r="P77" s="17" t="str">
        <f t="shared" ca="1" si="5"/>
        <v>Vencido hace 156 días</v>
      </c>
      <c r="Q77" s="50">
        <f t="shared" si="6"/>
        <v>46097</v>
      </c>
      <c r="R77" s="17" t="str">
        <f>IF(M77=1,COUNTIFS($Q$2:Q77,Q77,$M$2:M77,1),"")</f>
        <v/>
      </c>
      <c r="S77" s="50" t="str">
        <f t="shared" si="7"/>
        <v/>
      </c>
    </row>
    <row r="78" spans="1:19" ht="45" customHeight="1" x14ac:dyDescent="0.35">
      <c r="A78" s="66">
        <v>46097.625</v>
      </c>
      <c r="B78" s="67" t="s">
        <v>137</v>
      </c>
      <c r="C78" s="67" t="s">
        <v>138</v>
      </c>
      <c r="D78" s="67" t="s">
        <v>139</v>
      </c>
      <c r="E78" s="67" t="s">
        <v>145</v>
      </c>
      <c r="F78" s="67" t="s">
        <v>149</v>
      </c>
      <c r="G78" s="67" t="s">
        <v>94</v>
      </c>
      <c r="H78" s="67" t="s">
        <v>142</v>
      </c>
      <c r="I78" s="67" t="s">
        <v>50</v>
      </c>
      <c r="J78" s="67" t="s">
        <v>150</v>
      </c>
      <c r="K78" s="67" t="s">
        <v>151</v>
      </c>
      <c r="L78" s="68" t="s">
        <v>33</v>
      </c>
      <c r="M78" s="68">
        <f>--AND(Configuración!$B$6&lt;&gt;"",OR(E78="Todas",ISNUMBER(SEARCH(Configuración!$B$7,E78))),IF(L78="Monotributo",Configuración!$B$10="Sí",IF(L78="Autónomos",Configuración!$B$11="Sí",IF(L78="Responsable inscripto",Configuración!$B$12="Sí",IF(L78="Empleador",Configuración!$B$13="Sí",IF(L78="Casas particulares",Configuración!$B$14="Sí",IF(L78="Retenciones",Configuración!$B$15="Sí",IF(L78="Sociedad",Configuración!$B$16="Sí",IF(L78="Persona humana",Configuración!$B$17="Sí",IF(L78="Convenio Multilateral",Configuración!$B$18="Sí",FALSE()))))))))))</f>
        <v>0</v>
      </c>
      <c r="N78" s="68" t="str">
        <f>IF(M78=1,COUNTIF($M$2:M78,1),"")</f>
        <v/>
      </c>
      <c r="O78" s="50">
        <f t="shared" ca="1" si="4"/>
        <v>-156</v>
      </c>
      <c r="P78" s="17" t="str">
        <f t="shared" ca="1" si="5"/>
        <v>Vencido hace 156 días</v>
      </c>
      <c r="Q78" s="50">
        <f t="shared" si="6"/>
        <v>46097</v>
      </c>
      <c r="R78" s="17" t="str">
        <f>IF(M78=1,COUNTIFS($Q$2:Q78,Q78,$M$2:M78,1),"")</f>
        <v/>
      </c>
      <c r="S78" s="50" t="str">
        <f t="shared" si="7"/>
        <v/>
      </c>
    </row>
    <row r="79" spans="1:19" ht="45" customHeight="1" x14ac:dyDescent="0.35">
      <c r="A79" s="66">
        <v>46098.625</v>
      </c>
      <c r="B79" s="67" t="s">
        <v>105</v>
      </c>
      <c r="C79" s="67" t="s">
        <v>106</v>
      </c>
      <c r="D79" s="67" t="s">
        <v>107</v>
      </c>
      <c r="E79" s="67" t="s">
        <v>90</v>
      </c>
      <c r="F79" s="67" t="s">
        <v>148</v>
      </c>
      <c r="G79" s="67" t="s">
        <v>109</v>
      </c>
      <c r="H79" s="67" t="s">
        <v>87</v>
      </c>
      <c r="I79" s="67" t="s">
        <v>50</v>
      </c>
      <c r="J79" s="67" t="s">
        <v>110</v>
      </c>
      <c r="K79" s="67" t="s">
        <v>111</v>
      </c>
      <c r="L79" s="68" t="s">
        <v>112</v>
      </c>
      <c r="M79" s="68">
        <f>--AND(Configuración!$B$6&lt;&gt;"",OR(E79="Todas",ISNUMBER(SEARCH(Configuración!$B$7,E79))),IF(L79="Monotributo",Configuración!$B$10="Sí",IF(L79="Autónomos",Configuración!$B$11="Sí",IF(L79="Responsable inscripto",Configuración!$B$12="Sí",IF(L79="Empleador",Configuración!$B$13="Sí",IF(L79="Casas particulares",Configuración!$B$14="Sí",IF(L79="Retenciones",Configuración!$B$15="Sí",IF(L79="Sociedad",Configuración!$B$16="Sí",IF(L79="Persona humana",Configuración!$B$17="Sí",IF(L79="Convenio Multilateral",Configuración!$B$18="Sí",FALSE()))))))))))</f>
        <v>0</v>
      </c>
      <c r="N79" s="68" t="str">
        <f>IF(M79=1,COUNTIF($M$2:M79,1),"")</f>
        <v/>
      </c>
      <c r="O79" s="50">
        <f t="shared" ca="1" si="4"/>
        <v>-155</v>
      </c>
      <c r="P79" s="17" t="str">
        <f t="shared" ca="1" si="5"/>
        <v>Vencido hace 155 días</v>
      </c>
      <c r="Q79" s="50">
        <f t="shared" si="6"/>
        <v>46098</v>
      </c>
      <c r="R79" s="17" t="str">
        <f>IF(M79=1,COUNTIFS($Q$2:Q79,Q79,$M$2:M79,1),"")</f>
        <v/>
      </c>
      <c r="S79" s="50" t="str">
        <f t="shared" si="7"/>
        <v/>
      </c>
    </row>
    <row r="80" spans="1:19" ht="45" customHeight="1" x14ac:dyDescent="0.35">
      <c r="A80" s="66">
        <v>46098.625</v>
      </c>
      <c r="B80" s="67" t="s">
        <v>137</v>
      </c>
      <c r="C80" s="67" t="s">
        <v>138</v>
      </c>
      <c r="D80" s="67" t="s">
        <v>139</v>
      </c>
      <c r="E80" s="67" t="s">
        <v>146</v>
      </c>
      <c r="F80" s="67" t="s">
        <v>149</v>
      </c>
      <c r="G80" s="67" t="s">
        <v>94</v>
      </c>
      <c r="H80" s="67" t="s">
        <v>142</v>
      </c>
      <c r="I80" s="67" t="s">
        <v>50</v>
      </c>
      <c r="J80" s="67" t="s">
        <v>150</v>
      </c>
      <c r="K80" s="67" t="s">
        <v>151</v>
      </c>
      <c r="L80" s="68" t="s">
        <v>33</v>
      </c>
      <c r="M80" s="68">
        <f>--AND(Configuración!$B$6&lt;&gt;"",OR(E80="Todas",ISNUMBER(SEARCH(Configuración!$B$7,E80))),IF(L80="Monotributo",Configuración!$B$10="Sí",IF(L80="Autónomos",Configuración!$B$11="Sí",IF(L80="Responsable inscripto",Configuración!$B$12="Sí",IF(L80="Empleador",Configuración!$B$13="Sí",IF(L80="Casas particulares",Configuración!$B$14="Sí",IF(L80="Retenciones",Configuración!$B$15="Sí",IF(L80="Sociedad",Configuración!$B$16="Sí",IF(L80="Persona humana",Configuración!$B$17="Sí",IF(L80="Convenio Multilateral",Configuración!$B$18="Sí",FALSE()))))))))))</f>
        <v>0</v>
      </c>
      <c r="N80" s="68" t="str">
        <f>IF(M80=1,COUNTIF($M$2:M80,1),"")</f>
        <v/>
      </c>
      <c r="O80" s="50">
        <f t="shared" ca="1" si="4"/>
        <v>-155</v>
      </c>
      <c r="P80" s="17" t="str">
        <f t="shared" ca="1" si="5"/>
        <v>Vencido hace 155 días</v>
      </c>
      <c r="Q80" s="50">
        <f t="shared" si="6"/>
        <v>46098</v>
      </c>
      <c r="R80" s="17" t="str">
        <f>IF(M80=1,COUNTIFS($Q$2:Q80,Q80,$M$2:M80,1),"")</f>
        <v/>
      </c>
      <c r="S80" s="50" t="str">
        <f t="shared" si="7"/>
        <v/>
      </c>
    </row>
    <row r="81" spans="1:19" ht="45" customHeight="1" x14ac:dyDescent="0.35">
      <c r="A81" s="66">
        <v>46099</v>
      </c>
      <c r="B81" s="67" t="s">
        <v>115</v>
      </c>
      <c r="C81" s="67" t="s">
        <v>116</v>
      </c>
      <c r="D81" s="67" t="s">
        <v>117</v>
      </c>
      <c r="E81" s="67" t="s">
        <v>84</v>
      </c>
      <c r="F81" s="67" t="s">
        <v>136</v>
      </c>
      <c r="G81" s="67" t="s">
        <v>94</v>
      </c>
      <c r="H81" s="67" t="s">
        <v>87</v>
      </c>
      <c r="I81" s="67" t="s">
        <v>50</v>
      </c>
      <c r="J81" s="67" t="s">
        <v>88</v>
      </c>
      <c r="K81" s="67"/>
      <c r="L81" s="68" t="s">
        <v>118</v>
      </c>
      <c r="M81" s="68">
        <f>--AND(Configuración!$B$6&lt;&gt;"",OR(E81="Todas",ISNUMBER(SEARCH(Configuración!$B$7,E81))),IF(L81="Monotributo",Configuración!$B$10="Sí",IF(L81="Autónomos",Configuración!$B$11="Sí",IF(L81="Responsable inscripto",Configuración!$B$12="Sí",IF(L81="Empleador",Configuración!$B$13="Sí",IF(L81="Casas particulares",Configuración!$B$14="Sí",IF(L81="Retenciones",Configuración!$B$15="Sí",IF(L81="Sociedad",Configuración!$B$16="Sí",IF(L81="Persona humana",Configuración!$B$17="Sí",IF(L81="Convenio Multilateral",Configuración!$B$18="Sí",FALSE()))))))))))</f>
        <v>0</v>
      </c>
      <c r="N81" s="68" t="str">
        <f>IF(M81=1,COUNTIF($M$2:M81,1),"")</f>
        <v/>
      </c>
      <c r="O81" s="50">
        <f t="shared" ca="1" si="4"/>
        <v>-154</v>
      </c>
      <c r="P81" s="17" t="str">
        <f t="shared" ca="1" si="5"/>
        <v>Vencido hace 154 días</v>
      </c>
      <c r="Q81" s="50">
        <f t="shared" si="6"/>
        <v>46099</v>
      </c>
      <c r="R81" s="17" t="str">
        <f>IF(M81=1,COUNTIFS($Q$2:Q81,Q81,$M$2:M81,1),"")</f>
        <v/>
      </c>
      <c r="S81" s="50" t="str">
        <f t="shared" si="7"/>
        <v/>
      </c>
    </row>
    <row r="82" spans="1:19" ht="45" customHeight="1" x14ac:dyDescent="0.35">
      <c r="A82" s="66">
        <v>46099</v>
      </c>
      <c r="B82" s="67" t="s">
        <v>119</v>
      </c>
      <c r="C82" s="67" t="s">
        <v>120</v>
      </c>
      <c r="D82" s="67" t="s">
        <v>121</v>
      </c>
      <c r="E82" s="67" t="s">
        <v>84</v>
      </c>
      <c r="F82" s="67" t="s">
        <v>136</v>
      </c>
      <c r="G82" s="67" t="s">
        <v>94</v>
      </c>
      <c r="H82" s="67" t="s">
        <v>87</v>
      </c>
      <c r="I82" s="67" t="s">
        <v>50</v>
      </c>
      <c r="J82" s="67" t="s">
        <v>88</v>
      </c>
      <c r="K82" s="67"/>
      <c r="L82" s="68" t="s">
        <v>118</v>
      </c>
      <c r="M82" s="68">
        <f>--AND(Configuración!$B$6&lt;&gt;"",OR(E82="Todas",ISNUMBER(SEARCH(Configuración!$B$7,E82))),IF(L82="Monotributo",Configuración!$B$10="Sí",IF(L82="Autónomos",Configuración!$B$11="Sí",IF(L82="Responsable inscripto",Configuración!$B$12="Sí",IF(L82="Empleador",Configuración!$B$13="Sí",IF(L82="Casas particulares",Configuración!$B$14="Sí",IF(L82="Retenciones",Configuración!$B$15="Sí",IF(L82="Sociedad",Configuración!$B$16="Sí",IF(L82="Persona humana",Configuración!$B$17="Sí",IF(L82="Convenio Multilateral",Configuración!$B$18="Sí",FALSE()))))))))))</f>
        <v>0</v>
      </c>
      <c r="N82" s="68" t="str">
        <f>IF(M82=1,COUNTIF($M$2:M82,1),"")</f>
        <v/>
      </c>
      <c r="O82" s="50">
        <f t="shared" ca="1" si="4"/>
        <v>-154</v>
      </c>
      <c r="P82" s="17" t="str">
        <f t="shared" ca="1" si="5"/>
        <v>Vencido hace 154 días</v>
      </c>
      <c r="Q82" s="50">
        <f t="shared" si="6"/>
        <v>46099</v>
      </c>
      <c r="R82" s="17" t="str">
        <f>IF(M82=1,COUNTIFS($Q$2:Q82,Q82,$M$2:M82,1),"")</f>
        <v/>
      </c>
      <c r="S82" s="50" t="str">
        <f t="shared" si="7"/>
        <v/>
      </c>
    </row>
    <row r="83" spans="1:19" ht="45" customHeight="1" x14ac:dyDescent="0.35">
      <c r="A83" s="66">
        <v>46099</v>
      </c>
      <c r="B83" s="67" t="s">
        <v>122</v>
      </c>
      <c r="C83" s="67" t="s">
        <v>123</v>
      </c>
      <c r="D83" s="67" t="s">
        <v>124</v>
      </c>
      <c r="E83" s="67" t="s">
        <v>84</v>
      </c>
      <c r="F83" s="67" t="s">
        <v>136</v>
      </c>
      <c r="G83" s="67" t="s">
        <v>109</v>
      </c>
      <c r="H83" s="67" t="s">
        <v>87</v>
      </c>
      <c r="I83" s="67" t="s">
        <v>50</v>
      </c>
      <c r="J83" s="67" t="s">
        <v>88</v>
      </c>
      <c r="K83" s="67" t="s">
        <v>125</v>
      </c>
      <c r="L83" s="68" t="s">
        <v>118</v>
      </c>
      <c r="M83" s="68">
        <f>--AND(Configuración!$B$6&lt;&gt;"",OR(E83="Todas",ISNUMBER(SEARCH(Configuración!$B$7,E83))),IF(L83="Monotributo",Configuración!$B$10="Sí",IF(L83="Autónomos",Configuración!$B$11="Sí",IF(L83="Responsable inscripto",Configuración!$B$12="Sí",IF(L83="Empleador",Configuración!$B$13="Sí",IF(L83="Casas particulares",Configuración!$B$14="Sí",IF(L83="Retenciones",Configuración!$B$15="Sí",IF(L83="Sociedad",Configuración!$B$16="Sí",IF(L83="Persona humana",Configuración!$B$17="Sí",IF(L83="Convenio Multilateral",Configuración!$B$18="Sí",FALSE()))))))))))</f>
        <v>0</v>
      </c>
      <c r="N83" s="68" t="str">
        <f>IF(M83=1,COUNTIF($M$2:M83,1),"")</f>
        <v/>
      </c>
      <c r="O83" s="50">
        <f t="shared" ca="1" si="4"/>
        <v>-154</v>
      </c>
      <c r="P83" s="17" t="str">
        <f t="shared" ca="1" si="5"/>
        <v>Vencido hace 154 días</v>
      </c>
      <c r="Q83" s="50">
        <f t="shared" si="6"/>
        <v>46099</v>
      </c>
      <c r="R83" s="17" t="str">
        <f>IF(M83=1,COUNTIFS($Q$2:Q83,Q83,$M$2:M83,1),"")</f>
        <v/>
      </c>
      <c r="S83" s="50" t="str">
        <f t="shared" si="7"/>
        <v/>
      </c>
    </row>
    <row r="84" spans="1:19" ht="45" customHeight="1" x14ac:dyDescent="0.35">
      <c r="A84" s="66">
        <v>46099.625</v>
      </c>
      <c r="B84" s="67" t="s">
        <v>137</v>
      </c>
      <c r="C84" s="67" t="s">
        <v>138</v>
      </c>
      <c r="D84" s="67" t="s">
        <v>139</v>
      </c>
      <c r="E84" s="67" t="s">
        <v>147</v>
      </c>
      <c r="F84" s="67" t="s">
        <v>149</v>
      </c>
      <c r="G84" s="67" t="s">
        <v>94</v>
      </c>
      <c r="H84" s="67" t="s">
        <v>142</v>
      </c>
      <c r="I84" s="67" t="s">
        <v>50</v>
      </c>
      <c r="J84" s="67" t="s">
        <v>150</v>
      </c>
      <c r="K84" s="67" t="s">
        <v>151</v>
      </c>
      <c r="L84" s="68" t="s">
        <v>33</v>
      </c>
      <c r="M84" s="68">
        <f>--AND(Configuración!$B$6&lt;&gt;"",OR(E84="Todas",ISNUMBER(SEARCH(Configuración!$B$7,E84))),IF(L84="Monotributo",Configuración!$B$10="Sí",IF(L84="Autónomos",Configuración!$B$11="Sí",IF(L84="Responsable inscripto",Configuración!$B$12="Sí",IF(L84="Empleador",Configuración!$B$13="Sí",IF(L84="Casas particulares",Configuración!$B$14="Sí",IF(L84="Retenciones",Configuración!$B$15="Sí",IF(L84="Sociedad",Configuración!$B$16="Sí",IF(L84="Persona humana",Configuración!$B$17="Sí",IF(L84="Convenio Multilateral",Configuración!$B$18="Sí",FALSE()))))))))))</f>
        <v>0</v>
      </c>
      <c r="N84" s="68" t="str">
        <f>IF(M84=1,COUNTIF($M$2:M84,1),"")</f>
        <v/>
      </c>
      <c r="O84" s="50">
        <f t="shared" ca="1" si="4"/>
        <v>-154</v>
      </c>
      <c r="P84" s="17" t="str">
        <f t="shared" ca="1" si="5"/>
        <v>Vencido hace 154 días</v>
      </c>
      <c r="Q84" s="50">
        <f t="shared" si="6"/>
        <v>46099</v>
      </c>
      <c r="R84" s="17" t="str">
        <f>IF(M84=1,COUNTIFS($Q$2:Q84,Q84,$M$2:M84,1),"")</f>
        <v/>
      </c>
      <c r="S84" s="50" t="str">
        <f t="shared" si="7"/>
        <v/>
      </c>
    </row>
    <row r="85" spans="1:19" ht="45" customHeight="1" x14ac:dyDescent="0.35">
      <c r="A85" s="66">
        <v>46100</v>
      </c>
      <c r="B85" s="67" t="s">
        <v>115</v>
      </c>
      <c r="C85" s="67" t="s">
        <v>116</v>
      </c>
      <c r="D85" s="67" t="s">
        <v>117</v>
      </c>
      <c r="E85" s="67" t="s">
        <v>89</v>
      </c>
      <c r="F85" s="67" t="s">
        <v>136</v>
      </c>
      <c r="G85" s="67" t="s">
        <v>94</v>
      </c>
      <c r="H85" s="67" t="s">
        <v>87</v>
      </c>
      <c r="I85" s="67" t="s">
        <v>50</v>
      </c>
      <c r="J85" s="67" t="s">
        <v>88</v>
      </c>
      <c r="K85" s="67"/>
      <c r="L85" s="68" t="s">
        <v>118</v>
      </c>
      <c r="M85" s="68">
        <f>--AND(Configuración!$B$6&lt;&gt;"",OR(E85="Todas",ISNUMBER(SEARCH(Configuración!$B$7,E85))),IF(L85="Monotributo",Configuración!$B$10="Sí",IF(L85="Autónomos",Configuración!$B$11="Sí",IF(L85="Responsable inscripto",Configuración!$B$12="Sí",IF(L85="Empleador",Configuración!$B$13="Sí",IF(L85="Casas particulares",Configuración!$B$14="Sí",IF(L85="Retenciones",Configuración!$B$15="Sí",IF(L85="Sociedad",Configuración!$B$16="Sí",IF(L85="Persona humana",Configuración!$B$17="Sí",IF(L85="Convenio Multilateral",Configuración!$B$18="Sí",FALSE()))))))))))</f>
        <v>0</v>
      </c>
      <c r="N85" s="68" t="str">
        <f>IF(M85=1,COUNTIF($M$2:M85,1),"")</f>
        <v/>
      </c>
      <c r="O85" s="50">
        <f t="shared" ca="1" si="4"/>
        <v>-153</v>
      </c>
      <c r="P85" s="17" t="str">
        <f t="shared" ca="1" si="5"/>
        <v>Vencido hace 153 días</v>
      </c>
      <c r="Q85" s="50">
        <f t="shared" si="6"/>
        <v>46100</v>
      </c>
      <c r="R85" s="17" t="str">
        <f>IF(M85=1,COUNTIFS($Q$2:Q85,Q85,$M$2:M85,1),"")</f>
        <v/>
      </c>
      <c r="S85" s="50" t="str">
        <f t="shared" si="7"/>
        <v/>
      </c>
    </row>
    <row r="86" spans="1:19" ht="45" customHeight="1" x14ac:dyDescent="0.35">
      <c r="A86" s="66">
        <v>46100</v>
      </c>
      <c r="B86" s="67" t="s">
        <v>119</v>
      </c>
      <c r="C86" s="67" t="s">
        <v>120</v>
      </c>
      <c r="D86" s="67" t="s">
        <v>121</v>
      </c>
      <c r="E86" s="67" t="s">
        <v>89</v>
      </c>
      <c r="F86" s="67" t="s">
        <v>136</v>
      </c>
      <c r="G86" s="67" t="s">
        <v>94</v>
      </c>
      <c r="H86" s="67" t="s">
        <v>87</v>
      </c>
      <c r="I86" s="67" t="s">
        <v>50</v>
      </c>
      <c r="J86" s="67" t="s">
        <v>88</v>
      </c>
      <c r="K86" s="67"/>
      <c r="L86" s="68" t="s">
        <v>118</v>
      </c>
      <c r="M86" s="68">
        <f>--AND(Configuración!$B$6&lt;&gt;"",OR(E86="Todas",ISNUMBER(SEARCH(Configuración!$B$7,E86))),IF(L86="Monotributo",Configuración!$B$10="Sí",IF(L86="Autónomos",Configuración!$B$11="Sí",IF(L86="Responsable inscripto",Configuración!$B$12="Sí",IF(L86="Empleador",Configuración!$B$13="Sí",IF(L86="Casas particulares",Configuración!$B$14="Sí",IF(L86="Retenciones",Configuración!$B$15="Sí",IF(L86="Sociedad",Configuración!$B$16="Sí",IF(L86="Persona humana",Configuración!$B$17="Sí",IF(L86="Convenio Multilateral",Configuración!$B$18="Sí",FALSE()))))))))))</f>
        <v>0</v>
      </c>
      <c r="N86" s="68" t="str">
        <f>IF(M86=1,COUNTIF($M$2:M86,1),"")</f>
        <v/>
      </c>
      <c r="O86" s="50">
        <f t="shared" ca="1" si="4"/>
        <v>-153</v>
      </c>
      <c r="P86" s="17" t="str">
        <f t="shared" ca="1" si="5"/>
        <v>Vencido hace 153 días</v>
      </c>
      <c r="Q86" s="50">
        <f t="shared" si="6"/>
        <v>46100</v>
      </c>
      <c r="R86" s="17" t="str">
        <f>IF(M86=1,COUNTIFS($Q$2:Q86,Q86,$M$2:M86,1),"")</f>
        <v/>
      </c>
      <c r="S86" s="50" t="str">
        <f t="shared" si="7"/>
        <v/>
      </c>
    </row>
    <row r="87" spans="1:19" ht="45" customHeight="1" x14ac:dyDescent="0.35">
      <c r="A87" s="66">
        <v>46100</v>
      </c>
      <c r="B87" s="67" t="s">
        <v>122</v>
      </c>
      <c r="C87" s="67" t="s">
        <v>123</v>
      </c>
      <c r="D87" s="67" t="s">
        <v>124</v>
      </c>
      <c r="E87" s="67" t="s">
        <v>89</v>
      </c>
      <c r="F87" s="67" t="s">
        <v>136</v>
      </c>
      <c r="G87" s="67" t="s">
        <v>109</v>
      </c>
      <c r="H87" s="67" t="s">
        <v>87</v>
      </c>
      <c r="I87" s="67" t="s">
        <v>50</v>
      </c>
      <c r="J87" s="67" t="s">
        <v>88</v>
      </c>
      <c r="K87" s="67" t="s">
        <v>125</v>
      </c>
      <c r="L87" s="68" t="s">
        <v>118</v>
      </c>
      <c r="M87" s="68">
        <f>--AND(Configuración!$B$6&lt;&gt;"",OR(E87="Todas",ISNUMBER(SEARCH(Configuración!$B$7,E87))),IF(L87="Monotributo",Configuración!$B$10="Sí",IF(L87="Autónomos",Configuración!$B$11="Sí",IF(L87="Responsable inscripto",Configuración!$B$12="Sí",IF(L87="Empleador",Configuración!$B$13="Sí",IF(L87="Casas particulares",Configuración!$B$14="Sí",IF(L87="Retenciones",Configuración!$B$15="Sí",IF(L87="Sociedad",Configuración!$B$16="Sí",IF(L87="Persona humana",Configuración!$B$17="Sí",IF(L87="Convenio Multilateral",Configuración!$B$18="Sí",FALSE()))))))))))</f>
        <v>0</v>
      </c>
      <c r="N87" s="68" t="str">
        <f>IF(M87=1,COUNTIF($M$2:M87,1),"")</f>
        <v/>
      </c>
      <c r="O87" s="50">
        <f t="shared" ca="1" si="4"/>
        <v>-153</v>
      </c>
      <c r="P87" s="17" t="str">
        <f t="shared" ca="1" si="5"/>
        <v>Vencido hace 153 días</v>
      </c>
      <c r="Q87" s="50">
        <f t="shared" si="6"/>
        <v>46100</v>
      </c>
      <c r="R87" s="17" t="str">
        <f>IF(M87=1,COUNTIFS($Q$2:Q87,Q87,$M$2:M87,1),"")</f>
        <v/>
      </c>
      <c r="S87" s="50" t="str">
        <f t="shared" si="7"/>
        <v/>
      </c>
    </row>
    <row r="88" spans="1:19" ht="45" customHeight="1" x14ac:dyDescent="0.35">
      <c r="A88" s="66">
        <v>46101</v>
      </c>
      <c r="B88" s="67" t="s">
        <v>115</v>
      </c>
      <c r="C88" s="67" t="s">
        <v>116</v>
      </c>
      <c r="D88" s="67" t="s">
        <v>117</v>
      </c>
      <c r="E88" s="67" t="s">
        <v>90</v>
      </c>
      <c r="F88" s="67" t="s">
        <v>136</v>
      </c>
      <c r="G88" s="67" t="s">
        <v>94</v>
      </c>
      <c r="H88" s="67" t="s">
        <v>87</v>
      </c>
      <c r="I88" s="67" t="s">
        <v>50</v>
      </c>
      <c r="J88" s="67" t="s">
        <v>88</v>
      </c>
      <c r="K88" s="67"/>
      <c r="L88" s="68" t="s">
        <v>118</v>
      </c>
      <c r="M88" s="68">
        <f>--AND(Configuración!$B$6&lt;&gt;"",OR(E88="Todas",ISNUMBER(SEARCH(Configuración!$B$7,E88))),IF(L88="Monotributo",Configuración!$B$10="Sí",IF(L88="Autónomos",Configuración!$B$11="Sí",IF(L88="Responsable inscripto",Configuración!$B$12="Sí",IF(L88="Empleador",Configuración!$B$13="Sí",IF(L88="Casas particulares",Configuración!$B$14="Sí",IF(L88="Retenciones",Configuración!$B$15="Sí",IF(L88="Sociedad",Configuración!$B$16="Sí",IF(L88="Persona humana",Configuración!$B$17="Sí",IF(L88="Convenio Multilateral",Configuración!$B$18="Sí",FALSE()))))))))))</f>
        <v>0</v>
      </c>
      <c r="N88" s="68" t="str">
        <f>IF(M88=1,COUNTIF($M$2:M88,1),"")</f>
        <v/>
      </c>
      <c r="O88" s="50">
        <f t="shared" ca="1" si="4"/>
        <v>-152</v>
      </c>
      <c r="P88" s="17" t="str">
        <f t="shared" ca="1" si="5"/>
        <v>Vencido hace 152 días</v>
      </c>
      <c r="Q88" s="50">
        <f t="shared" si="6"/>
        <v>46101</v>
      </c>
      <c r="R88" s="17" t="str">
        <f>IF(M88=1,COUNTIFS($Q$2:Q88,Q88,$M$2:M88,1),"")</f>
        <v/>
      </c>
      <c r="S88" s="50" t="str">
        <f t="shared" si="7"/>
        <v/>
      </c>
    </row>
    <row r="89" spans="1:19" ht="45" customHeight="1" x14ac:dyDescent="0.35">
      <c r="A89" s="66">
        <v>46101</v>
      </c>
      <c r="B89" s="67" t="s">
        <v>119</v>
      </c>
      <c r="C89" s="67" t="s">
        <v>120</v>
      </c>
      <c r="D89" s="67" t="s">
        <v>121</v>
      </c>
      <c r="E89" s="67" t="s">
        <v>90</v>
      </c>
      <c r="F89" s="67" t="s">
        <v>136</v>
      </c>
      <c r="G89" s="67" t="s">
        <v>94</v>
      </c>
      <c r="H89" s="67" t="s">
        <v>87</v>
      </c>
      <c r="I89" s="67" t="s">
        <v>50</v>
      </c>
      <c r="J89" s="67" t="s">
        <v>88</v>
      </c>
      <c r="K89" s="67"/>
      <c r="L89" s="68" t="s">
        <v>118</v>
      </c>
      <c r="M89" s="68">
        <f>--AND(Configuración!$B$6&lt;&gt;"",OR(E89="Todas",ISNUMBER(SEARCH(Configuración!$B$7,E89))),IF(L89="Monotributo",Configuración!$B$10="Sí",IF(L89="Autónomos",Configuración!$B$11="Sí",IF(L89="Responsable inscripto",Configuración!$B$12="Sí",IF(L89="Empleador",Configuración!$B$13="Sí",IF(L89="Casas particulares",Configuración!$B$14="Sí",IF(L89="Retenciones",Configuración!$B$15="Sí",IF(L89="Sociedad",Configuración!$B$16="Sí",IF(L89="Persona humana",Configuración!$B$17="Sí",IF(L89="Convenio Multilateral",Configuración!$B$18="Sí",FALSE()))))))))))</f>
        <v>0</v>
      </c>
      <c r="N89" s="68" t="str">
        <f>IF(M89=1,COUNTIF($M$2:M89,1),"")</f>
        <v/>
      </c>
      <c r="O89" s="50">
        <f t="shared" ca="1" si="4"/>
        <v>-152</v>
      </c>
      <c r="P89" s="17" t="str">
        <f t="shared" ca="1" si="5"/>
        <v>Vencido hace 152 días</v>
      </c>
      <c r="Q89" s="50">
        <f t="shared" si="6"/>
        <v>46101</v>
      </c>
      <c r="R89" s="17" t="str">
        <f>IF(M89=1,COUNTIFS($Q$2:Q89,Q89,$M$2:M89,1),"")</f>
        <v/>
      </c>
      <c r="S89" s="50" t="str">
        <f t="shared" si="7"/>
        <v/>
      </c>
    </row>
    <row r="90" spans="1:19" ht="45" customHeight="1" x14ac:dyDescent="0.35">
      <c r="A90" s="66">
        <v>46101</v>
      </c>
      <c r="B90" s="67" t="s">
        <v>122</v>
      </c>
      <c r="C90" s="67" t="s">
        <v>123</v>
      </c>
      <c r="D90" s="67" t="s">
        <v>124</v>
      </c>
      <c r="E90" s="67" t="s">
        <v>90</v>
      </c>
      <c r="F90" s="67" t="s">
        <v>136</v>
      </c>
      <c r="G90" s="67" t="s">
        <v>109</v>
      </c>
      <c r="H90" s="67" t="s">
        <v>87</v>
      </c>
      <c r="I90" s="67" t="s">
        <v>50</v>
      </c>
      <c r="J90" s="67" t="s">
        <v>88</v>
      </c>
      <c r="K90" s="67" t="s">
        <v>125</v>
      </c>
      <c r="L90" s="68" t="s">
        <v>118</v>
      </c>
      <c r="M90" s="68">
        <f>--AND(Configuración!$B$6&lt;&gt;"",OR(E90="Todas",ISNUMBER(SEARCH(Configuración!$B$7,E90))),IF(L90="Monotributo",Configuración!$B$10="Sí",IF(L90="Autónomos",Configuración!$B$11="Sí",IF(L90="Responsable inscripto",Configuración!$B$12="Sí",IF(L90="Empleador",Configuración!$B$13="Sí",IF(L90="Casas particulares",Configuración!$B$14="Sí",IF(L90="Retenciones",Configuración!$B$15="Sí",IF(L90="Sociedad",Configuración!$B$16="Sí",IF(L90="Persona humana",Configuración!$B$17="Sí",IF(L90="Convenio Multilateral",Configuración!$B$18="Sí",FALSE()))))))))))</f>
        <v>0</v>
      </c>
      <c r="N90" s="68" t="str">
        <f>IF(M90=1,COUNTIF($M$2:M90,1),"")</f>
        <v/>
      </c>
      <c r="O90" s="50">
        <f t="shared" ca="1" si="4"/>
        <v>-152</v>
      </c>
      <c r="P90" s="17" t="str">
        <f t="shared" ca="1" si="5"/>
        <v>Vencido hace 152 días</v>
      </c>
      <c r="Q90" s="50">
        <f t="shared" si="6"/>
        <v>46101</v>
      </c>
      <c r="R90" s="17" t="str">
        <f>IF(M90=1,COUNTIFS($Q$2:Q90,Q90,$M$2:M90,1),"")</f>
        <v/>
      </c>
      <c r="S90" s="50" t="str">
        <f t="shared" si="7"/>
        <v/>
      </c>
    </row>
    <row r="91" spans="1:19" ht="30" customHeight="1" x14ac:dyDescent="0.35">
      <c r="A91" s="66">
        <v>46101</v>
      </c>
      <c r="B91" s="67" t="s">
        <v>24</v>
      </c>
      <c r="C91" s="67" t="s">
        <v>126</v>
      </c>
      <c r="D91" s="67" t="s">
        <v>127</v>
      </c>
      <c r="E91" s="67" t="s">
        <v>104</v>
      </c>
      <c r="F91" s="67" t="s">
        <v>152</v>
      </c>
      <c r="G91" s="67" t="s">
        <v>86</v>
      </c>
      <c r="H91" s="67" t="s">
        <v>87</v>
      </c>
      <c r="I91" s="67" t="s">
        <v>50</v>
      </c>
      <c r="J91" s="67" t="s">
        <v>129</v>
      </c>
      <c r="K91" s="67" t="s">
        <v>130</v>
      </c>
      <c r="L91" s="68" t="s">
        <v>24</v>
      </c>
      <c r="M91" s="68">
        <f>--AND(Configuración!$B$6&lt;&gt;"",OR(E91="Todas",ISNUMBER(SEARCH(Configuración!$B$7,E91))),IF(L91="Monotributo",Configuración!$B$10="Sí",IF(L91="Autónomos",Configuración!$B$11="Sí",IF(L91="Responsable inscripto",Configuración!$B$12="Sí",IF(L91="Empleador",Configuración!$B$13="Sí",IF(L91="Casas particulares",Configuración!$B$14="Sí",IF(L91="Retenciones",Configuración!$B$15="Sí",IF(L91="Sociedad",Configuración!$B$16="Sí",IF(L91="Persona humana",Configuración!$B$17="Sí",IF(L91="Convenio Multilateral",Configuración!$B$18="Sí",FALSE()))))))))))</f>
        <v>0</v>
      </c>
      <c r="N91" s="68" t="str">
        <f>IF(M91=1,COUNTIF($M$2:M91,1),"")</f>
        <v/>
      </c>
      <c r="O91" s="50">
        <f t="shared" ca="1" si="4"/>
        <v>-152</v>
      </c>
      <c r="P91" s="17" t="str">
        <f t="shared" ca="1" si="5"/>
        <v>Vencido hace 152 días</v>
      </c>
      <c r="Q91" s="50">
        <f t="shared" si="6"/>
        <v>46101</v>
      </c>
      <c r="R91" s="17" t="str">
        <f>IF(M91=1,COUNTIFS($Q$2:Q91,Q91,$M$2:M91,1),"")</f>
        <v/>
      </c>
      <c r="S91" s="50" t="str">
        <f t="shared" si="7"/>
        <v/>
      </c>
    </row>
    <row r="92" spans="1:19" ht="45" customHeight="1" x14ac:dyDescent="0.35">
      <c r="A92" s="66">
        <v>46118</v>
      </c>
      <c r="B92" s="67" t="s">
        <v>26</v>
      </c>
      <c r="C92" s="67" t="s">
        <v>82</v>
      </c>
      <c r="D92" s="67" t="s">
        <v>83</v>
      </c>
      <c r="E92" s="67" t="s">
        <v>84</v>
      </c>
      <c r="F92" s="67" t="s">
        <v>152</v>
      </c>
      <c r="G92" s="67" t="s">
        <v>86</v>
      </c>
      <c r="H92" s="67" t="s">
        <v>87</v>
      </c>
      <c r="I92" s="67" t="s">
        <v>50</v>
      </c>
      <c r="J92" s="67" t="s">
        <v>88</v>
      </c>
      <c r="K92" s="67"/>
      <c r="L92" s="68" t="s">
        <v>26</v>
      </c>
      <c r="M92" s="68">
        <f>--AND(Configuración!$B$6&lt;&gt;"",OR(E92="Todas",ISNUMBER(SEARCH(Configuración!$B$7,E92))),IF(L92="Monotributo",Configuración!$B$10="Sí",IF(L92="Autónomos",Configuración!$B$11="Sí",IF(L92="Responsable inscripto",Configuración!$B$12="Sí",IF(L92="Empleador",Configuración!$B$13="Sí",IF(L92="Casas particulares",Configuración!$B$14="Sí",IF(L92="Retenciones",Configuración!$B$15="Sí",IF(L92="Sociedad",Configuración!$B$16="Sí",IF(L92="Persona humana",Configuración!$B$17="Sí",IF(L92="Convenio Multilateral",Configuración!$B$18="Sí",FALSE()))))))))))</f>
        <v>0</v>
      </c>
      <c r="N92" s="68" t="str">
        <f>IF(M92=1,COUNTIF($M$2:M92,1),"")</f>
        <v/>
      </c>
      <c r="O92" s="50">
        <f t="shared" ca="1" si="4"/>
        <v>-135</v>
      </c>
      <c r="P92" s="17" t="str">
        <f t="shared" ca="1" si="5"/>
        <v>Vencido hace 135 días</v>
      </c>
      <c r="Q92" s="50">
        <f t="shared" si="6"/>
        <v>46118</v>
      </c>
      <c r="R92" s="17" t="str">
        <f>IF(M92=1,COUNTIFS($Q$2:Q92,Q92,$M$2:M92,1),"")</f>
        <v/>
      </c>
      <c r="S92" s="50" t="str">
        <f t="shared" si="7"/>
        <v/>
      </c>
    </row>
    <row r="93" spans="1:19" ht="45" customHeight="1" x14ac:dyDescent="0.35">
      <c r="A93" s="66">
        <v>46118</v>
      </c>
      <c r="B93" s="67" t="s">
        <v>26</v>
      </c>
      <c r="C93" s="67" t="s">
        <v>82</v>
      </c>
      <c r="D93" s="67" t="s">
        <v>83</v>
      </c>
      <c r="E93" s="67" t="s">
        <v>89</v>
      </c>
      <c r="F93" s="67" t="s">
        <v>152</v>
      </c>
      <c r="G93" s="67" t="s">
        <v>86</v>
      </c>
      <c r="H93" s="67" t="s">
        <v>87</v>
      </c>
      <c r="I93" s="67" t="s">
        <v>50</v>
      </c>
      <c r="J93" s="67" t="s">
        <v>88</v>
      </c>
      <c r="K93" s="67"/>
      <c r="L93" s="68" t="s">
        <v>26</v>
      </c>
      <c r="M93" s="68">
        <f>--AND(Configuración!$B$6&lt;&gt;"",OR(E93="Todas",ISNUMBER(SEARCH(Configuración!$B$7,E93))),IF(L93="Monotributo",Configuración!$B$10="Sí",IF(L93="Autónomos",Configuración!$B$11="Sí",IF(L93="Responsable inscripto",Configuración!$B$12="Sí",IF(L93="Empleador",Configuración!$B$13="Sí",IF(L93="Casas particulares",Configuración!$B$14="Sí",IF(L93="Retenciones",Configuración!$B$15="Sí",IF(L93="Sociedad",Configuración!$B$16="Sí",IF(L93="Persona humana",Configuración!$B$17="Sí",IF(L93="Convenio Multilateral",Configuración!$B$18="Sí",FALSE()))))))))))</f>
        <v>0</v>
      </c>
      <c r="N93" s="68" t="str">
        <f>IF(M93=1,COUNTIF($M$2:M93,1),"")</f>
        <v/>
      </c>
      <c r="O93" s="50">
        <f t="shared" ca="1" si="4"/>
        <v>-135</v>
      </c>
      <c r="P93" s="17" t="str">
        <f t="shared" ca="1" si="5"/>
        <v>Vencido hace 135 días</v>
      </c>
      <c r="Q93" s="50">
        <f t="shared" si="6"/>
        <v>46118</v>
      </c>
      <c r="R93" s="17" t="str">
        <f>IF(M93=1,COUNTIFS($Q$2:Q93,Q93,$M$2:M93,1),"")</f>
        <v/>
      </c>
      <c r="S93" s="50" t="str">
        <f t="shared" si="7"/>
        <v/>
      </c>
    </row>
    <row r="94" spans="1:19" ht="45" customHeight="1" x14ac:dyDescent="0.35">
      <c r="A94" s="66">
        <v>46118</v>
      </c>
      <c r="B94" s="67" t="s">
        <v>26</v>
      </c>
      <c r="C94" s="67" t="s">
        <v>82</v>
      </c>
      <c r="D94" s="67" t="s">
        <v>83</v>
      </c>
      <c r="E94" s="67" t="s">
        <v>90</v>
      </c>
      <c r="F94" s="67" t="s">
        <v>152</v>
      </c>
      <c r="G94" s="67" t="s">
        <v>86</v>
      </c>
      <c r="H94" s="67" t="s">
        <v>87</v>
      </c>
      <c r="I94" s="67" t="s">
        <v>50</v>
      </c>
      <c r="J94" s="67" t="s">
        <v>88</v>
      </c>
      <c r="K94" s="67"/>
      <c r="L94" s="68" t="s">
        <v>26</v>
      </c>
      <c r="M94" s="68">
        <f>--AND(Configuración!$B$6&lt;&gt;"",OR(E94="Todas",ISNUMBER(SEARCH(Configuración!$B$7,E94))),IF(L94="Monotributo",Configuración!$B$10="Sí",IF(L94="Autónomos",Configuración!$B$11="Sí",IF(L94="Responsable inscripto",Configuración!$B$12="Sí",IF(L94="Empleador",Configuración!$B$13="Sí",IF(L94="Casas particulares",Configuración!$B$14="Sí",IF(L94="Retenciones",Configuración!$B$15="Sí",IF(L94="Sociedad",Configuración!$B$16="Sí",IF(L94="Persona humana",Configuración!$B$17="Sí",IF(L94="Convenio Multilateral",Configuración!$B$18="Sí",FALSE()))))))))))</f>
        <v>0</v>
      </c>
      <c r="N94" s="68" t="str">
        <f>IF(M94=1,COUNTIF($M$2:M94,1),"")</f>
        <v/>
      </c>
      <c r="O94" s="50">
        <f t="shared" ca="1" si="4"/>
        <v>-135</v>
      </c>
      <c r="P94" s="17" t="str">
        <f t="shared" ca="1" si="5"/>
        <v>Vencido hace 135 días</v>
      </c>
      <c r="Q94" s="50">
        <f t="shared" si="6"/>
        <v>46118</v>
      </c>
      <c r="R94" s="17" t="str">
        <f>IF(M94=1,COUNTIFS($Q$2:Q94,Q94,$M$2:M94,1),"")</f>
        <v/>
      </c>
      <c r="S94" s="50" t="str">
        <f t="shared" si="7"/>
        <v/>
      </c>
    </row>
    <row r="95" spans="1:19" ht="45" customHeight="1" x14ac:dyDescent="0.35">
      <c r="A95" s="66">
        <v>46118</v>
      </c>
      <c r="B95" s="67" t="s">
        <v>91</v>
      </c>
      <c r="C95" s="67" t="s">
        <v>92</v>
      </c>
      <c r="D95" s="67" t="s">
        <v>93</v>
      </c>
      <c r="E95" s="67" t="s">
        <v>84</v>
      </c>
      <c r="F95" s="67" t="s">
        <v>152</v>
      </c>
      <c r="G95" s="67" t="s">
        <v>94</v>
      </c>
      <c r="H95" s="67" t="s">
        <v>87</v>
      </c>
      <c r="I95" s="67" t="s">
        <v>50</v>
      </c>
      <c r="J95" s="67" t="s">
        <v>88</v>
      </c>
      <c r="K95" s="67"/>
      <c r="L95" s="68" t="s">
        <v>95</v>
      </c>
      <c r="M95" s="68">
        <f>--AND(Configuración!$B$6&lt;&gt;"",OR(E95="Todas",ISNUMBER(SEARCH(Configuración!$B$7,E95))),IF(L95="Monotributo",Configuración!$B$10="Sí",IF(L95="Autónomos",Configuración!$B$11="Sí",IF(L95="Responsable inscripto",Configuración!$B$12="Sí",IF(L95="Empleador",Configuración!$B$13="Sí",IF(L95="Casas particulares",Configuración!$B$14="Sí",IF(L95="Retenciones",Configuración!$B$15="Sí",IF(L95="Sociedad",Configuración!$B$16="Sí",IF(L95="Persona humana",Configuración!$B$17="Sí",IF(L95="Convenio Multilateral",Configuración!$B$18="Sí",FALSE()))))))))))</f>
        <v>0</v>
      </c>
      <c r="N95" s="68" t="str">
        <f>IF(M95=1,COUNTIF($M$2:M95,1),"")</f>
        <v/>
      </c>
      <c r="O95" s="50">
        <f t="shared" ca="1" si="4"/>
        <v>-135</v>
      </c>
      <c r="P95" s="17" t="str">
        <f t="shared" ca="1" si="5"/>
        <v>Vencido hace 135 días</v>
      </c>
      <c r="Q95" s="50">
        <f t="shared" si="6"/>
        <v>46118</v>
      </c>
      <c r="R95" s="17" t="str">
        <f>IF(M95=1,COUNTIFS($Q$2:Q95,Q95,$M$2:M95,1),"")</f>
        <v/>
      </c>
      <c r="S95" s="50" t="str">
        <f t="shared" si="7"/>
        <v/>
      </c>
    </row>
    <row r="96" spans="1:19" ht="45" customHeight="1" x14ac:dyDescent="0.35">
      <c r="A96" s="66">
        <v>46118</v>
      </c>
      <c r="B96" s="67" t="s">
        <v>91</v>
      </c>
      <c r="C96" s="67" t="s">
        <v>92</v>
      </c>
      <c r="D96" s="67" t="s">
        <v>93</v>
      </c>
      <c r="E96" s="67" t="s">
        <v>89</v>
      </c>
      <c r="F96" s="67" t="s">
        <v>152</v>
      </c>
      <c r="G96" s="67" t="s">
        <v>94</v>
      </c>
      <c r="H96" s="67" t="s">
        <v>87</v>
      </c>
      <c r="I96" s="67" t="s">
        <v>50</v>
      </c>
      <c r="J96" s="67" t="s">
        <v>88</v>
      </c>
      <c r="K96" s="67"/>
      <c r="L96" s="68" t="s">
        <v>95</v>
      </c>
      <c r="M96" s="68">
        <f>--AND(Configuración!$B$6&lt;&gt;"",OR(E96="Todas",ISNUMBER(SEARCH(Configuración!$B$7,E96))),IF(L96="Monotributo",Configuración!$B$10="Sí",IF(L96="Autónomos",Configuración!$B$11="Sí",IF(L96="Responsable inscripto",Configuración!$B$12="Sí",IF(L96="Empleador",Configuración!$B$13="Sí",IF(L96="Casas particulares",Configuración!$B$14="Sí",IF(L96="Retenciones",Configuración!$B$15="Sí",IF(L96="Sociedad",Configuración!$B$16="Sí",IF(L96="Persona humana",Configuración!$B$17="Sí",IF(L96="Convenio Multilateral",Configuración!$B$18="Sí",FALSE()))))))))))</f>
        <v>0</v>
      </c>
      <c r="N96" s="68" t="str">
        <f>IF(M96=1,COUNTIF($M$2:M96,1),"")</f>
        <v/>
      </c>
      <c r="O96" s="50">
        <f t="shared" ca="1" si="4"/>
        <v>-135</v>
      </c>
      <c r="P96" s="17" t="str">
        <f t="shared" ca="1" si="5"/>
        <v>Vencido hace 135 días</v>
      </c>
      <c r="Q96" s="50">
        <f t="shared" si="6"/>
        <v>46118</v>
      </c>
      <c r="R96" s="17" t="str">
        <f>IF(M96=1,COUNTIFS($Q$2:Q96,Q96,$M$2:M96,1),"")</f>
        <v/>
      </c>
      <c r="S96" s="50" t="str">
        <f t="shared" si="7"/>
        <v/>
      </c>
    </row>
    <row r="97" spans="1:19" ht="45" customHeight="1" x14ac:dyDescent="0.35">
      <c r="A97" s="66">
        <v>46118</v>
      </c>
      <c r="B97" s="67" t="s">
        <v>91</v>
      </c>
      <c r="C97" s="67" t="s">
        <v>92</v>
      </c>
      <c r="D97" s="67" t="s">
        <v>93</v>
      </c>
      <c r="E97" s="67" t="s">
        <v>90</v>
      </c>
      <c r="F97" s="67" t="s">
        <v>152</v>
      </c>
      <c r="G97" s="67" t="s">
        <v>94</v>
      </c>
      <c r="H97" s="67" t="s">
        <v>87</v>
      </c>
      <c r="I97" s="67" t="s">
        <v>50</v>
      </c>
      <c r="J97" s="67" t="s">
        <v>88</v>
      </c>
      <c r="K97" s="67"/>
      <c r="L97" s="68" t="s">
        <v>95</v>
      </c>
      <c r="M97" s="68">
        <f>--AND(Configuración!$B$6&lt;&gt;"",OR(E97="Todas",ISNUMBER(SEARCH(Configuración!$B$7,E97))),IF(L97="Monotributo",Configuración!$B$10="Sí",IF(L97="Autónomos",Configuración!$B$11="Sí",IF(L97="Responsable inscripto",Configuración!$B$12="Sí",IF(L97="Empleador",Configuración!$B$13="Sí",IF(L97="Casas particulares",Configuración!$B$14="Sí",IF(L97="Retenciones",Configuración!$B$15="Sí",IF(L97="Sociedad",Configuración!$B$16="Sí",IF(L97="Persona humana",Configuración!$B$17="Sí",IF(L97="Convenio Multilateral",Configuración!$B$18="Sí",FALSE()))))))))))</f>
        <v>0</v>
      </c>
      <c r="N97" s="68" t="str">
        <f>IF(M97=1,COUNTIF($M$2:M97,1),"")</f>
        <v/>
      </c>
      <c r="O97" s="50">
        <f t="shared" ca="1" si="4"/>
        <v>-135</v>
      </c>
      <c r="P97" s="17" t="str">
        <f t="shared" ca="1" si="5"/>
        <v>Vencido hace 135 días</v>
      </c>
      <c r="Q97" s="50">
        <f t="shared" si="6"/>
        <v>46118</v>
      </c>
      <c r="R97" s="17" t="str">
        <f>IF(M97=1,COUNTIFS($Q$2:Q97,Q97,$M$2:M97,1),"")</f>
        <v/>
      </c>
      <c r="S97" s="50" t="str">
        <f t="shared" si="7"/>
        <v/>
      </c>
    </row>
    <row r="98" spans="1:19" ht="45" customHeight="1" x14ac:dyDescent="0.35">
      <c r="A98" s="66">
        <v>46119</v>
      </c>
      <c r="B98" s="67" t="s">
        <v>96</v>
      </c>
      <c r="C98" s="67" t="s">
        <v>97</v>
      </c>
      <c r="D98" s="67" t="s">
        <v>98</v>
      </c>
      <c r="E98" s="67" t="s">
        <v>84</v>
      </c>
      <c r="F98" s="67" t="s">
        <v>152</v>
      </c>
      <c r="G98" s="67" t="s">
        <v>94</v>
      </c>
      <c r="H98" s="67" t="s">
        <v>87</v>
      </c>
      <c r="I98" s="67" t="s">
        <v>50</v>
      </c>
      <c r="J98" s="67" t="s">
        <v>88</v>
      </c>
      <c r="K98" s="67"/>
      <c r="L98" s="68" t="s">
        <v>99</v>
      </c>
      <c r="M98" s="68">
        <f>--AND(Configuración!$B$6&lt;&gt;"",OR(E98="Todas",ISNUMBER(SEARCH(Configuración!$B$7,E98))),IF(L98="Monotributo",Configuración!$B$10="Sí",IF(L98="Autónomos",Configuración!$B$11="Sí",IF(L98="Responsable inscripto",Configuración!$B$12="Sí",IF(L98="Empleador",Configuración!$B$13="Sí",IF(L98="Casas particulares",Configuración!$B$14="Sí",IF(L98="Retenciones",Configuración!$B$15="Sí",IF(L98="Sociedad",Configuración!$B$16="Sí",IF(L98="Persona humana",Configuración!$B$17="Sí",IF(L98="Convenio Multilateral",Configuración!$B$18="Sí",FALSE()))))))))))</f>
        <v>0</v>
      </c>
      <c r="N98" s="68" t="str">
        <f>IF(M98=1,COUNTIF($M$2:M98,1),"")</f>
        <v/>
      </c>
      <c r="O98" s="50">
        <f t="shared" ca="1" si="4"/>
        <v>-134</v>
      </c>
      <c r="P98" s="17" t="str">
        <f t="shared" ca="1" si="5"/>
        <v>Vencido hace 134 días</v>
      </c>
      <c r="Q98" s="50">
        <f t="shared" si="6"/>
        <v>46119</v>
      </c>
      <c r="R98" s="17" t="str">
        <f>IF(M98=1,COUNTIFS($Q$2:Q98,Q98,$M$2:M98,1),"")</f>
        <v/>
      </c>
      <c r="S98" s="50" t="str">
        <f t="shared" si="7"/>
        <v/>
      </c>
    </row>
    <row r="99" spans="1:19" ht="45" customHeight="1" x14ac:dyDescent="0.35">
      <c r="A99" s="66">
        <v>46120</v>
      </c>
      <c r="B99" s="67" t="s">
        <v>96</v>
      </c>
      <c r="C99" s="67" t="s">
        <v>97</v>
      </c>
      <c r="D99" s="67" t="s">
        <v>98</v>
      </c>
      <c r="E99" s="67" t="s">
        <v>89</v>
      </c>
      <c r="F99" s="67" t="s">
        <v>152</v>
      </c>
      <c r="G99" s="67" t="s">
        <v>94</v>
      </c>
      <c r="H99" s="67" t="s">
        <v>87</v>
      </c>
      <c r="I99" s="67" t="s">
        <v>50</v>
      </c>
      <c r="J99" s="67" t="s">
        <v>88</v>
      </c>
      <c r="K99" s="67"/>
      <c r="L99" s="68" t="s">
        <v>99</v>
      </c>
      <c r="M99" s="68">
        <f>--AND(Configuración!$B$6&lt;&gt;"",OR(E99="Todas",ISNUMBER(SEARCH(Configuración!$B$7,E99))),IF(L99="Monotributo",Configuración!$B$10="Sí",IF(L99="Autónomos",Configuración!$B$11="Sí",IF(L99="Responsable inscripto",Configuración!$B$12="Sí",IF(L99="Empleador",Configuración!$B$13="Sí",IF(L99="Casas particulares",Configuración!$B$14="Sí",IF(L99="Retenciones",Configuración!$B$15="Sí",IF(L99="Sociedad",Configuración!$B$16="Sí",IF(L99="Persona humana",Configuración!$B$17="Sí",IF(L99="Convenio Multilateral",Configuración!$B$18="Sí",FALSE()))))))))))</f>
        <v>0</v>
      </c>
      <c r="N99" s="68" t="str">
        <f>IF(M99=1,COUNTIF($M$2:M99,1),"")</f>
        <v/>
      </c>
      <c r="O99" s="50">
        <f t="shared" ca="1" si="4"/>
        <v>-133</v>
      </c>
      <c r="P99" s="17" t="str">
        <f t="shared" ca="1" si="5"/>
        <v>Vencido hace 133 días</v>
      </c>
      <c r="Q99" s="50">
        <f t="shared" si="6"/>
        <v>46120</v>
      </c>
      <c r="R99" s="17" t="str">
        <f>IF(M99=1,COUNTIFS($Q$2:Q99,Q99,$M$2:M99,1),"")</f>
        <v/>
      </c>
      <c r="S99" s="50" t="str">
        <f t="shared" si="7"/>
        <v/>
      </c>
    </row>
    <row r="100" spans="1:19" ht="45" customHeight="1" x14ac:dyDescent="0.35">
      <c r="A100" s="66">
        <v>46121</v>
      </c>
      <c r="B100" s="67" t="s">
        <v>96</v>
      </c>
      <c r="C100" s="67" t="s">
        <v>97</v>
      </c>
      <c r="D100" s="67" t="s">
        <v>98</v>
      </c>
      <c r="E100" s="67" t="s">
        <v>90</v>
      </c>
      <c r="F100" s="67" t="s">
        <v>152</v>
      </c>
      <c r="G100" s="67" t="s">
        <v>94</v>
      </c>
      <c r="H100" s="67" t="s">
        <v>87</v>
      </c>
      <c r="I100" s="67" t="s">
        <v>50</v>
      </c>
      <c r="J100" s="67" t="s">
        <v>88</v>
      </c>
      <c r="K100" s="67"/>
      <c r="L100" s="68" t="s">
        <v>99</v>
      </c>
      <c r="M100" s="68">
        <f>--AND(Configuración!$B$6&lt;&gt;"",OR(E100="Todas",ISNUMBER(SEARCH(Configuración!$B$7,E100))),IF(L100="Monotributo",Configuración!$B$10="Sí",IF(L100="Autónomos",Configuración!$B$11="Sí",IF(L100="Responsable inscripto",Configuración!$B$12="Sí",IF(L100="Empleador",Configuración!$B$13="Sí",IF(L100="Casas particulares",Configuración!$B$14="Sí",IF(L100="Retenciones",Configuración!$B$15="Sí",IF(L100="Sociedad",Configuración!$B$16="Sí",IF(L100="Persona humana",Configuración!$B$17="Sí",IF(L100="Convenio Multilateral",Configuración!$B$18="Sí",FALSE()))))))))))</f>
        <v>0</v>
      </c>
      <c r="N100" s="68" t="str">
        <f>IF(M100=1,COUNTIF($M$2:M100,1),"")</f>
        <v/>
      </c>
      <c r="O100" s="50">
        <f t="shared" ca="1" si="4"/>
        <v>-132</v>
      </c>
      <c r="P100" s="17" t="str">
        <f t="shared" ca="1" si="5"/>
        <v>Vencido hace 132 días</v>
      </c>
      <c r="Q100" s="50">
        <f t="shared" si="6"/>
        <v>46121</v>
      </c>
      <c r="R100" s="17" t="str">
        <f>IF(M100=1,COUNTIFS($Q$2:Q100,Q100,$M$2:M100,1),"")</f>
        <v/>
      </c>
      <c r="S100" s="50" t="str">
        <f t="shared" si="7"/>
        <v/>
      </c>
    </row>
    <row r="101" spans="1:19" ht="45" customHeight="1" x14ac:dyDescent="0.35">
      <c r="A101" s="66">
        <v>46121</v>
      </c>
      <c r="B101" s="67" t="s">
        <v>100</v>
      </c>
      <c r="C101" s="67" t="s">
        <v>101</v>
      </c>
      <c r="D101" s="67" t="s">
        <v>93</v>
      </c>
      <c r="E101" s="67" t="s">
        <v>84</v>
      </c>
      <c r="F101" s="67" t="s">
        <v>152</v>
      </c>
      <c r="G101" s="67" t="s">
        <v>94</v>
      </c>
      <c r="H101" s="67" t="s">
        <v>87</v>
      </c>
      <c r="I101" s="67" t="s">
        <v>50</v>
      </c>
      <c r="J101" s="67" t="s">
        <v>88</v>
      </c>
      <c r="K101" s="67"/>
      <c r="L101" s="68" t="s">
        <v>95</v>
      </c>
      <c r="M101" s="68">
        <f>--AND(Configuración!$B$6&lt;&gt;"",OR(E101="Todas",ISNUMBER(SEARCH(Configuración!$B$7,E101))),IF(L101="Monotributo",Configuración!$B$10="Sí",IF(L101="Autónomos",Configuración!$B$11="Sí",IF(L101="Responsable inscripto",Configuración!$B$12="Sí",IF(L101="Empleador",Configuración!$B$13="Sí",IF(L101="Casas particulares",Configuración!$B$14="Sí",IF(L101="Retenciones",Configuración!$B$15="Sí",IF(L101="Sociedad",Configuración!$B$16="Sí",IF(L101="Persona humana",Configuración!$B$17="Sí",IF(L101="Convenio Multilateral",Configuración!$B$18="Sí",FALSE()))))))))))</f>
        <v>0</v>
      </c>
      <c r="N101" s="68" t="str">
        <f>IF(M101=1,COUNTIF($M$2:M101,1),"")</f>
        <v/>
      </c>
      <c r="O101" s="50">
        <f t="shared" ca="1" si="4"/>
        <v>-132</v>
      </c>
      <c r="P101" s="17" t="str">
        <f t="shared" ca="1" si="5"/>
        <v>Vencido hace 132 días</v>
      </c>
      <c r="Q101" s="50">
        <f t="shared" si="6"/>
        <v>46121</v>
      </c>
      <c r="R101" s="17" t="str">
        <f>IF(M101=1,COUNTIFS($Q$2:Q101,Q101,$M$2:M101,1),"")</f>
        <v/>
      </c>
      <c r="S101" s="50" t="str">
        <f t="shared" si="7"/>
        <v/>
      </c>
    </row>
    <row r="102" spans="1:19" ht="45" customHeight="1" x14ac:dyDescent="0.35">
      <c r="A102" s="66">
        <v>46122</v>
      </c>
      <c r="B102" s="67" t="s">
        <v>29</v>
      </c>
      <c r="C102" s="67" t="s">
        <v>102</v>
      </c>
      <c r="D102" s="67" t="s">
        <v>103</v>
      </c>
      <c r="E102" s="67" t="s">
        <v>104</v>
      </c>
      <c r="F102" s="67" t="s">
        <v>152</v>
      </c>
      <c r="G102" s="67" t="s">
        <v>86</v>
      </c>
      <c r="H102" s="67" t="s">
        <v>87</v>
      </c>
      <c r="I102" s="67" t="s">
        <v>50</v>
      </c>
      <c r="J102" s="67" t="s">
        <v>88</v>
      </c>
      <c r="K102" s="67"/>
      <c r="L102" s="68" t="s">
        <v>29</v>
      </c>
      <c r="M102" s="68">
        <f>--AND(Configuración!$B$6&lt;&gt;"",OR(E102="Todas",ISNUMBER(SEARCH(Configuración!$B$7,E102))),IF(L102="Monotributo",Configuración!$B$10="Sí",IF(L102="Autónomos",Configuración!$B$11="Sí",IF(L102="Responsable inscripto",Configuración!$B$12="Sí",IF(L102="Empleador",Configuración!$B$13="Sí",IF(L102="Casas particulares",Configuración!$B$14="Sí",IF(L102="Retenciones",Configuración!$B$15="Sí",IF(L102="Sociedad",Configuración!$B$16="Sí",IF(L102="Persona humana",Configuración!$B$17="Sí",IF(L102="Convenio Multilateral",Configuración!$B$18="Sí",FALSE()))))))))))</f>
        <v>0</v>
      </c>
      <c r="N102" s="68" t="str">
        <f>IF(M102=1,COUNTIF($M$2:M102,1),"")</f>
        <v/>
      </c>
      <c r="O102" s="50">
        <f t="shared" ca="1" si="4"/>
        <v>-131</v>
      </c>
      <c r="P102" s="17" t="str">
        <f t="shared" ca="1" si="5"/>
        <v>Vencido hace 131 días</v>
      </c>
      <c r="Q102" s="50">
        <f t="shared" si="6"/>
        <v>46122</v>
      </c>
      <c r="R102" s="17" t="str">
        <f>IF(M102=1,COUNTIFS($Q$2:Q102,Q102,$M$2:M102,1),"")</f>
        <v/>
      </c>
      <c r="S102" s="50" t="str">
        <f t="shared" si="7"/>
        <v/>
      </c>
    </row>
    <row r="103" spans="1:19" ht="45" customHeight="1" x14ac:dyDescent="0.35">
      <c r="A103" s="66">
        <v>46122</v>
      </c>
      <c r="B103" s="67" t="s">
        <v>100</v>
      </c>
      <c r="C103" s="67" t="s">
        <v>101</v>
      </c>
      <c r="D103" s="67" t="s">
        <v>93</v>
      </c>
      <c r="E103" s="67" t="s">
        <v>89</v>
      </c>
      <c r="F103" s="67" t="s">
        <v>152</v>
      </c>
      <c r="G103" s="67" t="s">
        <v>94</v>
      </c>
      <c r="H103" s="67" t="s">
        <v>87</v>
      </c>
      <c r="I103" s="67" t="s">
        <v>50</v>
      </c>
      <c r="J103" s="67" t="s">
        <v>88</v>
      </c>
      <c r="K103" s="67"/>
      <c r="L103" s="68" t="s">
        <v>95</v>
      </c>
      <c r="M103" s="68">
        <f>--AND(Configuración!$B$6&lt;&gt;"",OR(E103="Todas",ISNUMBER(SEARCH(Configuración!$B$7,E103))),IF(L103="Monotributo",Configuración!$B$10="Sí",IF(L103="Autónomos",Configuración!$B$11="Sí",IF(L103="Responsable inscripto",Configuración!$B$12="Sí",IF(L103="Empleador",Configuración!$B$13="Sí",IF(L103="Casas particulares",Configuración!$B$14="Sí",IF(L103="Retenciones",Configuración!$B$15="Sí",IF(L103="Sociedad",Configuración!$B$16="Sí",IF(L103="Persona humana",Configuración!$B$17="Sí",IF(L103="Convenio Multilateral",Configuración!$B$18="Sí",FALSE()))))))))))</f>
        <v>0</v>
      </c>
      <c r="N103" s="68" t="str">
        <f>IF(M103=1,COUNTIF($M$2:M103,1),"")</f>
        <v/>
      </c>
      <c r="O103" s="50">
        <f t="shared" ca="1" si="4"/>
        <v>-131</v>
      </c>
      <c r="P103" s="17" t="str">
        <f t="shared" ca="1" si="5"/>
        <v>Vencido hace 131 días</v>
      </c>
      <c r="Q103" s="50">
        <f t="shared" si="6"/>
        <v>46122</v>
      </c>
      <c r="R103" s="17" t="str">
        <f>IF(M103=1,COUNTIFS($Q$2:Q103,Q103,$M$2:M103,1),"")</f>
        <v/>
      </c>
      <c r="S103" s="50" t="str">
        <f t="shared" si="7"/>
        <v/>
      </c>
    </row>
    <row r="104" spans="1:19" ht="45" customHeight="1" x14ac:dyDescent="0.35">
      <c r="A104" s="66">
        <v>46125</v>
      </c>
      <c r="B104" s="67" t="s">
        <v>100</v>
      </c>
      <c r="C104" s="67" t="s">
        <v>101</v>
      </c>
      <c r="D104" s="67" t="s">
        <v>93</v>
      </c>
      <c r="E104" s="67" t="s">
        <v>90</v>
      </c>
      <c r="F104" s="67" t="s">
        <v>152</v>
      </c>
      <c r="G104" s="67" t="s">
        <v>94</v>
      </c>
      <c r="H104" s="67" t="s">
        <v>87</v>
      </c>
      <c r="I104" s="67" t="s">
        <v>50</v>
      </c>
      <c r="J104" s="67" t="s">
        <v>88</v>
      </c>
      <c r="K104" s="67"/>
      <c r="L104" s="68" t="s">
        <v>95</v>
      </c>
      <c r="M104" s="68">
        <f>--AND(Configuración!$B$6&lt;&gt;"",OR(E104="Todas",ISNUMBER(SEARCH(Configuración!$B$7,E104))),IF(L104="Monotributo",Configuración!$B$10="Sí",IF(L104="Autónomos",Configuración!$B$11="Sí",IF(L104="Responsable inscripto",Configuración!$B$12="Sí",IF(L104="Empleador",Configuración!$B$13="Sí",IF(L104="Casas particulares",Configuración!$B$14="Sí",IF(L104="Retenciones",Configuración!$B$15="Sí",IF(L104="Sociedad",Configuración!$B$16="Sí",IF(L104="Persona humana",Configuración!$B$17="Sí",IF(L104="Convenio Multilateral",Configuración!$B$18="Sí",FALSE()))))))))))</f>
        <v>0</v>
      </c>
      <c r="N104" s="68" t="str">
        <f>IF(M104=1,COUNTIF($M$2:M104,1),"")</f>
        <v/>
      </c>
      <c r="O104" s="50">
        <f t="shared" ca="1" si="4"/>
        <v>-128</v>
      </c>
      <c r="P104" s="17" t="str">
        <f t="shared" ca="1" si="5"/>
        <v>Vencido hace 128 días</v>
      </c>
      <c r="Q104" s="50">
        <f t="shared" si="6"/>
        <v>46125</v>
      </c>
      <c r="R104" s="17" t="str">
        <f>IF(M104=1,COUNTIFS($Q$2:Q104,Q104,$M$2:M104,1),"")</f>
        <v/>
      </c>
      <c r="S104" s="50" t="str">
        <f t="shared" si="7"/>
        <v/>
      </c>
    </row>
    <row r="105" spans="1:19" ht="45" customHeight="1" x14ac:dyDescent="0.35">
      <c r="A105" s="66">
        <v>46125.625</v>
      </c>
      <c r="B105" s="67" t="s">
        <v>105</v>
      </c>
      <c r="C105" s="67" t="s">
        <v>106</v>
      </c>
      <c r="D105" s="67" t="s">
        <v>107</v>
      </c>
      <c r="E105" s="67" t="s">
        <v>84</v>
      </c>
      <c r="F105" s="67" t="s">
        <v>153</v>
      </c>
      <c r="G105" s="67" t="s">
        <v>109</v>
      </c>
      <c r="H105" s="67" t="s">
        <v>87</v>
      </c>
      <c r="I105" s="67" t="s">
        <v>50</v>
      </c>
      <c r="J105" s="67" t="s">
        <v>110</v>
      </c>
      <c r="K105" s="67" t="s">
        <v>111</v>
      </c>
      <c r="L105" s="68" t="s">
        <v>112</v>
      </c>
      <c r="M105" s="68">
        <f>--AND(Configuración!$B$6&lt;&gt;"",OR(E105="Todas",ISNUMBER(SEARCH(Configuración!$B$7,E105))),IF(L105="Monotributo",Configuración!$B$10="Sí",IF(L105="Autónomos",Configuración!$B$11="Sí",IF(L105="Responsable inscripto",Configuración!$B$12="Sí",IF(L105="Empleador",Configuración!$B$13="Sí",IF(L105="Casas particulares",Configuración!$B$14="Sí",IF(L105="Retenciones",Configuración!$B$15="Sí",IF(L105="Sociedad",Configuración!$B$16="Sí",IF(L105="Persona humana",Configuración!$B$17="Sí",IF(L105="Convenio Multilateral",Configuración!$B$18="Sí",FALSE()))))))))))</f>
        <v>0</v>
      </c>
      <c r="N105" s="68" t="str">
        <f>IF(M105=1,COUNTIF($M$2:M105,1),"")</f>
        <v/>
      </c>
      <c r="O105" s="50">
        <f t="shared" ca="1" si="4"/>
        <v>-128</v>
      </c>
      <c r="P105" s="17" t="str">
        <f t="shared" ca="1" si="5"/>
        <v>Vencido hace 128 días</v>
      </c>
      <c r="Q105" s="50">
        <f t="shared" si="6"/>
        <v>46125</v>
      </c>
      <c r="R105" s="17" t="str">
        <f>IF(M105=1,COUNTIFS($Q$2:Q105,Q105,$M$2:M105,1),"")</f>
        <v/>
      </c>
      <c r="S105" s="50" t="str">
        <f t="shared" si="7"/>
        <v/>
      </c>
    </row>
    <row r="106" spans="1:19" ht="45" customHeight="1" x14ac:dyDescent="0.35">
      <c r="A106" s="66">
        <v>46126.625</v>
      </c>
      <c r="B106" s="67" t="s">
        <v>105</v>
      </c>
      <c r="C106" s="67" t="s">
        <v>106</v>
      </c>
      <c r="D106" s="67" t="s">
        <v>107</v>
      </c>
      <c r="E106" s="67" t="s">
        <v>89</v>
      </c>
      <c r="F106" s="67" t="s">
        <v>153</v>
      </c>
      <c r="G106" s="67" t="s">
        <v>109</v>
      </c>
      <c r="H106" s="67" t="s">
        <v>87</v>
      </c>
      <c r="I106" s="67" t="s">
        <v>50</v>
      </c>
      <c r="J106" s="67" t="s">
        <v>110</v>
      </c>
      <c r="K106" s="67" t="s">
        <v>111</v>
      </c>
      <c r="L106" s="68" t="s">
        <v>112</v>
      </c>
      <c r="M106" s="68">
        <f>--AND(Configuración!$B$6&lt;&gt;"",OR(E106="Todas",ISNUMBER(SEARCH(Configuración!$B$7,E106))),IF(L106="Monotributo",Configuración!$B$10="Sí",IF(L106="Autónomos",Configuración!$B$11="Sí",IF(L106="Responsable inscripto",Configuración!$B$12="Sí",IF(L106="Empleador",Configuración!$B$13="Sí",IF(L106="Casas particulares",Configuración!$B$14="Sí",IF(L106="Retenciones",Configuración!$B$15="Sí",IF(L106="Sociedad",Configuración!$B$16="Sí",IF(L106="Persona humana",Configuración!$B$17="Sí",IF(L106="Convenio Multilateral",Configuración!$B$18="Sí",FALSE()))))))))))</f>
        <v>0</v>
      </c>
      <c r="N106" s="68" t="str">
        <f>IF(M106=1,COUNTIF($M$2:M106,1),"")</f>
        <v/>
      </c>
      <c r="O106" s="50">
        <f t="shared" ca="1" si="4"/>
        <v>-127</v>
      </c>
      <c r="P106" s="17" t="str">
        <f t="shared" ca="1" si="5"/>
        <v>Vencido hace 127 días</v>
      </c>
      <c r="Q106" s="50">
        <f t="shared" si="6"/>
        <v>46126</v>
      </c>
      <c r="R106" s="17" t="str">
        <f>IF(M106=1,COUNTIFS($Q$2:Q106,Q106,$M$2:M106,1),"")</f>
        <v/>
      </c>
      <c r="S106" s="50" t="str">
        <f t="shared" si="7"/>
        <v/>
      </c>
    </row>
    <row r="107" spans="1:19" ht="45" customHeight="1" x14ac:dyDescent="0.35">
      <c r="A107" s="66">
        <v>46127</v>
      </c>
      <c r="B107" s="67" t="s">
        <v>29</v>
      </c>
      <c r="C107" s="67" t="s">
        <v>113</v>
      </c>
      <c r="D107" s="67" t="s">
        <v>114</v>
      </c>
      <c r="E107" s="67" t="s">
        <v>104</v>
      </c>
      <c r="F107" s="67" t="s">
        <v>152</v>
      </c>
      <c r="G107" s="67" t="s">
        <v>86</v>
      </c>
      <c r="H107" s="67" t="s">
        <v>87</v>
      </c>
      <c r="I107" s="67" t="s">
        <v>50</v>
      </c>
      <c r="J107" s="67" t="s">
        <v>88</v>
      </c>
      <c r="K107" s="67"/>
      <c r="L107" s="68" t="s">
        <v>29</v>
      </c>
      <c r="M107" s="68">
        <f>--AND(Configuración!$B$6&lt;&gt;"",OR(E107="Todas",ISNUMBER(SEARCH(Configuración!$B$7,E107))),IF(L107="Monotributo",Configuración!$B$10="Sí",IF(L107="Autónomos",Configuración!$B$11="Sí",IF(L107="Responsable inscripto",Configuración!$B$12="Sí",IF(L107="Empleador",Configuración!$B$13="Sí",IF(L107="Casas particulares",Configuración!$B$14="Sí",IF(L107="Retenciones",Configuración!$B$15="Sí",IF(L107="Sociedad",Configuración!$B$16="Sí",IF(L107="Persona humana",Configuración!$B$17="Sí",IF(L107="Convenio Multilateral",Configuración!$B$18="Sí",FALSE()))))))))))</f>
        <v>0</v>
      </c>
      <c r="N107" s="68" t="str">
        <f>IF(M107=1,COUNTIF($M$2:M107,1),"")</f>
        <v/>
      </c>
      <c r="O107" s="50">
        <f t="shared" ca="1" si="4"/>
        <v>-126</v>
      </c>
      <c r="P107" s="17" t="str">
        <f t="shared" ca="1" si="5"/>
        <v>Vencido hace 126 días</v>
      </c>
      <c r="Q107" s="50">
        <f t="shared" si="6"/>
        <v>46127</v>
      </c>
      <c r="R107" s="17" t="str">
        <f>IF(M107=1,COUNTIFS($Q$2:Q107,Q107,$M$2:M107,1),"")</f>
        <v/>
      </c>
      <c r="S107" s="50" t="str">
        <f t="shared" si="7"/>
        <v/>
      </c>
    </row>
    <row r="108" spans="1:19" ht="45" customHeight="1" x14ac:dyDescent="0.35">
      <c r="A108" s="66">
        <v>46127.625</v>
      </c>
      <c r="B108" s="67" t="s">
        <v>105</v>
      </c>
      <c r="C108" s="67" t="s">
        <v>106</v>
      </c>
      <c r="D108" s="67" t="s">
        <v>107</v>
      </c>
      <c r="E108" s="67" t="s">
        <v>90</v>
      </c>
      <c r="F108" s="67" t="s">
        <v>153</v>
      </c>
      <c r="G108" s="67" t="s">
        <v>109</v>
      </c>
      <c r="H108" s="67" t="s">
        <v>87</v>
      </c>
      <c r="I108" s="67" t="s">
        <v>50</v>
      </c>
      <c r="J108" s="67" t="s">
        <v>110</v>
      </c>
      <c r="K108" s="67" t="s">
        <v>111</v>
      </c>
      <c r="L108" s="68" t="s">
        <v>112</v>
      </c>
      <c r="M108" s="68">
        <f>--AND(Configuración!$B$6&lt;&gt;"",OR(E108="Todas",ISNUMBER(SEARCH(Configuración!$B$7,E108))),IF(L108="Monotributo",Configuración!$B$10="Sí",IF(L108="Autónomos",Configuración!$B$11="Sí",IF(L108="Responsable inscripto",Configuración!$B$12="Sí",IF(L108="Empleador",Configuración!$B$13="Sí",IF(L108="Casas particulares",Configuración!$B$14="Sí",IF(L108="Retenciones",Configuración!$B$15="Sí",IF(L108="Sociedad",Configuración!$B$16="Sí",IF(L108="Persona humana",Configuración!$B$17="Sí",IF(L108="Convenio Multilateral",Configuración!$B$18="Sí",FALSE()))))))))))</f>
        <v>0</v>
      </c>
      <c r="N108" s="68" t="str">
        <f>IF(M108=1,COUNTIF($M$2:M108,1),"")</f>
        <v/>
      </c>
      <c r="O108" s="50">
        <f t="shared" ca="1" si="4"/>
        <v>-126</v>
      </c>
      <c r="P108" s="17" t="str">
        <f t="shared" ca="1" si="5"/>
        <v>Vencido hace 126 días</v>
      </c>
      <c r="Q108" s="50">
        <f t="shared" si="6"/>
        <v>46127</v>
      </c>
      <c r="R108" s="17" t="str">
        <f>IF(M108=1,COUNTIFS($Q$2:Q108,Q108,$M$2:M108,1),"")</f>
        <v/>
      </c>
      <c r="S108" s="50" t="str">
        <f t="shared" si="7"/>
        <v/>
      </c>
    </row>
    <row r="109" spans="1:19" ht="45" customHeight="1" x14ac:dyDescent="0.35">
      <c r="A109" s="66">
        <v>46127.625</v>
      </c>
      <c r="B109" s="67" t="s">
        <v>137</v>
      </c>
      <c r="C109" s="67" t="s">
        <v>138</v>
      </c>
      <c r="D109" s="67" t="s">
        <v>139</v>
      </c>
      <c r="E109" s="67" t="s">
        <v>140</v>
      </c>
      <c r="F109" s="67" t="s">
        <v>154</v>
      </c>
      <c r="G109" s="67" t="s">
        <v>94</v>
      </c>
      <c r="H109" s="67" t="s">
        <v>142</v>
      </c>
      <c r="I109" s="67" t="s">
        <v>50</v>
      </c>
      <c r="J109" s="67" t="s">
        <v>150</v>
      </c>
      <c r="K109" s="67" t="s">
        <v>151</v>
      </c>
      <c r="L109" s="68" t="s">
        <v>33</v>
      </c>
      <c r="M109" s="68">
        <f>--AND(Configuración!$B$6&lt;&gt;"",OR(E109="Todas",ISNUMBER(SEARCH(Configuración!$B$7,E109))),IF(L109="Monotributo",Configuración!$B$10="Sí",IF(L109="Autónomos",Configuración!$B$11="Sí",IF(L109="Responsable inscripto",Configuración!$B$12="Sí",IF(L109="Empleador",Configuración!$B$13="Sí",IF(L109="Casas particulares",Configuración!$B$14="Sí",IF(L109="Retenciones",Configuración!$B$15="Sí",IF(L109="Sociedad",Configuración!$B$16="Sí",IF(L109="Persona humana",Configuración!$B$17="Sí",IF(L109="Convenio Multilateral",Configuración!$B$18="Sí",FALSE()))))))))))</f>
        <v>0</v>
      </c>
      <c r="N109" s="68" t="str">
        <f>IF(M109=1,COUNTIF($M$2:M109,1),"")</f>
        <v/>
      </c>
      <c r="O109" s="50">
        <f t="shared" ca="1" si="4"/>
        <v>-126</v>
      </c>
      <c r="P109" s="17" t="str">
        <f t="shared" ca="1" si="5"/>
        <v>Vencido hace 126 días</v>
      </c>
      <c r="Q109" s="50">
        <f t="shared" si="6"/>
        <v>46127</v>
      </c>
      <c r="R109" s="17" t="str">
        <f>IF(M109=1,COUNTIFS($Q$2:Q109,Q109,$M$2:M109,1),"")</f>
        <v/>
      </c>
      <c r="S109" s="50" t="str">
        <f t="shared" si="7"/>
        <v/>
      </c>
    </row>
    <row r="110" spans="1:19" ht="45" customHeight="1" x14ac:dyDescent="0.35">
      <c r="A110" s="66">
        <v>46128.625</v>
      </c>
      <c r="B110" s="67" t="s">
        <v>137</v>
      </c>
      <c r="C110" s="67" t="s">
        <v>138</v>
      </c>
      <c r="D110" s="67" t="s">
        <v>139</v>
      </c>
      <c r="E110" s="67" t="s">
        <v>145</v>
      </c>
      <c r="F110" s="67" t="s">
        <v>154</v>
      </c>
      <c r="G110" s="67" t="s">
        <v>94</v>
      </c>
      <c r="H110" s="67" t="s">
        <v>142</v>
      </c>
      <c r="I110" s="67" t="s">
        <v>50</v>
      </c>
      <c r="J110" s="67" t="s">
        <v>150</v>
      </c>
      <c r="K110" s="67" t="s">
        <v>151</v>
      </c>
      <c r="L110" s="68" t="s">
        <v>33</v>
      </c>
      <c r="M110" s="68">
        <f>--AND(Configuración!$B$6&lt;&gt;"",OR(E110="Todas",ISNUMBER(SEARCH(Configuración!$B$7,E110))),IF(L110="Monotributo",Configuración!$B$10="Sí",IF(L110="Autónomos",Configuración!$B$11="Sí",IF(L110="Responsable inscripto",Configuración!$B$12="Sí",IF(L110="Empleador",Configuración!$B$13="Sí",IF(L110="Casas particulares",Configuración!$B$14="Sí",IF(L110="Retenciones",Configuración!$B$15="Sí",IF(L110="Sociedad",Configuración!$B$16="Sí",IF(L110="Persona humana",Configuración!$B$17="Sí",IF(L110="Convenio Multilateral",Configuración!$B$18="Sí",FALSE()))))))))))</f>
        <v>0</v>
      </c>
      <c r="N110" s="68" t="str">
        <f>IF(M110=1,COUNTIF($M$2:M110,1),"")</f>
        <v/>
      </c>
      <c r="O110" s="50">
        <f t="shared" ca="1" si="4"/>
        <v>-125</v>
      </c>
      <c r="P110" s="17" t="str">
        <f t="shared" ca="1" si="5"/>
        <v>Vencido hace 125 días</v>
      </c>
      <c r="Q110" s="50">
        <f t="shared" si="6"/>
        <v>46128</v>
      </c>
      <c r="R110" s="17" t="str">
        <f>IF(M110=1,COUNTIFS($Q$2:Q110,Q110,$M$2:M110,1),"")</f>
        <v/>
      </c>
      <c r="S110" s="50" t="str">
        <f t="shared" si="7"/>
        <v/>
      </c>
    </row>
    <row r="111" spans="1:19" ht="45" customHeight="1" x14ac:dyDescent="0.35">
      <c r="A111" s="66">
        <v>46129.625</v>
      </c>
      <c r="B111" s="67" t="s">
        <v>137</v>
      </c>
      <c r="C111" s="67" t="s">
        <v>138</v>
      </c>
      <c r="D111" s="67" t="s">
        <v>139</v>
      </c>
      <c r="E111" s="67" t="s">
        <v>146</v>
      </c>
      <c r="F111" s="67" t="s">
        <v>154</v>
      </c>
      <c r="G111" s="67" t="s">
        <v>94</v>
      </c>
      <c r="H111" s="67" t="s">
        <v>142</v>
      </c>
      <c r="I111" s="67" t="s">
        <v>50</v>
      </c>
      <c r="J111" s="67" t="s">
        <v>150</v>
      </c>
      <c r="K111" s="67" t="s">
        <v>151</v>
      </c>
      <c r="L111" s="68" t="s">
        <v>33</v>
      </c>
      <c r="M111" s="68">
        <f>--AND(Configuración!$B$6&lt;&gt;"",OR(E111="Todas",ISNUMBER(SEARCH(Configuración!$B$7,E111))),IF(L111="Monotributo",Configuración!$B$10="Sí",IF(L111="Autónomos",Configuración!$B$11="Sí",IF(L111="Responsable inscripto",Configuración!$B$12="Sí",IF(L111="Empleador",Configuración!$B$13="Sí",IF(L111="Casas particulares",Configuración!$B$14="Sí",IF(L111="Retenciones",Configuración!$B$15="Sí",IF(L111="Sociedad",Configuración!$B$16="Sí",IF(L111="Persona humana",Configuración!$B$17="Sí",IF(L111="Convenio Multilateral",Configuración!$B$18="Sí",FALSE()))))))))))</f>
        <v>0</v>
      </c>
      <c r="N111" s="68" t="str">
        <f>IF(M111=1,COUNTIF($M$2:M111,1),"")</f>
        <v/>
      </c>
      <c r="O111" s="50">
        <f t="shared" ca="1" si="4"/>
        <v>-124</v>
      </c>
      <c r="P111" s="17" t="str">
        <f t="shared" ca="1" si="5"/>
        <v>Vencido hace 124 días</v>
      </c>
      <c r="Q111" s="50">
        <f t="shared" si="6"/>
        <v>46129</v>
      </c>
      <c r="R111" s="17" t="str">
        <f>IF(M111=1,COUNTIFS($Q$2:Q111,Q111,$M$2:M111,1),"")</f>
        <v/>
      </c>
      <c r="S111" s="50" t="str">
        <f t="shared" si="7"/>
        <v/>
      </c>
    </row>
    <row r="112" spans="1:19" ht="45" customHeight="1" x14ac:dyDescent="0.35">
      <c r="A112" s="66">
        <v>46132</v>
      </c>
      <c r="B112" s="67" t="s">
        <v>115</v>
      </c>
      <c r="C112" s="67" t="s">
        <v>116</v>
      </c>
      <c r="D112" s="67" t="s">
        <v>117</v>
      </c>
      <c r="E112" s="67" t="s">
        <v>84</v>
      </c>
      <c r="F112" s="67" t="s">
        <v>152</v>
      </c>
      <c r="G112" s="67" t="s">
        <v>94</v>
      </c>
      <c r="H112" s="67" t="s">
        <v>87</v>
      </c>
      <c r="I112" s="67" t="s">
        <v>50</v>
      </c>
      <c r="J112" s="67" t="s">
        <v>88</v>
      </c>
      <c r="K112" s="67"/>
      <c r="L112" s="68" t="s">
        <v>118</v>
      </c>
      <c r="M112" s="68">
        <f>--AND(Configuración!$B$6&lt;&gt;"",OR(E112="Todas",ISNUMBER(SEARCH(Configuración!$B$7,E112))),IF(L112="Monotributo",Configuración!$B$10="Sí",IF(L112="Autónomos",Configuración!$B$11="Sí",IF(L112="Responsable inscripto",Configuración!$B$12="Sí",IF(L112="Empleador",Configuración!$B$13="Sí",IF(L112="Casas particulares",Configuración!$B$14="Sí",IF(L112="Retenciones",Configuración!$B$15="Sí",IF(L112="Sociedad",Configuración!$B$16="Sí",IF(L112="Persona humana",Configuración!$B$17="Sí",IF(L112="Convenio Multilateral",Configuración!$B$18="Sí",FALSE()))))))))))</f>
        <v>0</v>
      </c>
      <c r="N112" s="68" t="str">
        <f>IF(M112=1,COUNTIF($M$2:M112,1),"")</f>
        <v/>
      </c>
      <c r="O112" s="50">
        <f t="shared" ca="1" si="4"/>
        <v>-121</v>
      </c>
      <c r="P112" s="17" t="str">
        <f t="shared" ca="1" si="5"/>
        <v>Vencido hace 121 días</v>
      </c>
      <c r="Q112" s="50">
        <f t="shared" si="6"/>
        <v>46132</v>
      </c>
      <c r="R112" s="17" t="str">
        <f>IF(M112=1,COUNTIFS($Q$2:Q112,Q112,$M$2:M112,1),"")</f>
        <v/>
      </c>
      <c r="S112" s="50" t="str">
        <f t="shared" si="7"/>
        <v/>
      </c>
    </row>
    <row r="113" spans="1:19" ht="45" customHeight="1" x14ac:dyDescent="0.35">
      <c r="A113" s="66">
        <v>46132</v>
      </c>
      <c r="B113" s="67" t="s">
        <v>115</v>
      </c>
      <c r="C113" s="67" t="s">
        <v>116</v>
      </c>
      <c r="D113" s="67" t="s">
        <v>117</v>
      </c>
      <c r="E113" s="67" t="s">
        <v>89</v>
      </c>
      <c r="F113" s="67" t="s">
        <v>152</v>
      </c>
      <c r="G113" s="67" t="s">
        <v>94</v>
      </c>
      <c r="H113" s="67" t="s">
        <v>87</v>
      </c>
      <c r="I113" s="67" t="s">
        <v>50</v>
      </c>
      <c r="J113" s="67" t="s">
        <v>88</v>
      </c>
      <c r="K113" s="67"/>
      <c r="L113" s="68" t="s">
        <v>118</v>
      </c>
      <c r="M113" s="68">
        <f>--AND(Configuración!$B$6&lt;&gt;"",OR(E113="Todas",ISNUMBER(SEARCH(Configuración!$B$7,E113))),IF(L113="Monotributo",Configuración!$B$10="Sí",IF(L113="Autónomos",Configuración!$B$11="Sí",IF(L113="Responsable inscripto",Configuración!$B$12="Sí",IF(L113="Empleador",Configuración!$B$13="Sí",IF(L113="Casas particulares",Configuración!$B$14="Sí",IF(L113="Retenciones",Configuración!$B$15="Sí",IF(L113="Sociedad",Configuración!$B$16="Sí",IF(L113="Persona humana",Configuración!$B$17="Sí",IF(L113="Convenio Multilateral",Configuración!$B$18="Sí",FALSE()))))))))))</f>
        <v>0</v>
      </c>
      <c r="N113" s="68" t="str">
        <f>IF(M113=1,COUNTIF($M$2:M113,1),"")</f>
        <v/>
      </c>
      <c r="O113" s="50">
        <f t="shared" ca="1" si="4"/>
        <v>-121</v>
      </c>
      <c r="P113" s="17" t="str">
        <f t="shared" ca="1" si="5"/>
        <v>Vencido hace 121 días</v>
      </c>
      <c r="Q113" s="50">
        <f t="shared" si="6"/>
        <v>46132</v>
      </c>
      <c r="R113" s="17" t="str">
        <f>IF(M113=1,COUNTIFS($Q$2:Q113,Q113,$M$2:M113,1),"")</f>
        <v/>
      </c>
      <c r="S113" s="50" t="str">
        <f t="shared" si="7"/>
        <v/>
      </c>
    </row>
    <row r="114" spans="1:19" ht="45" customHeight="1" x14ac:dyDescent="0.35">
      <c r="A114" s="66">
        <v>46132</v>
      </c>
      <c r="B114" s="67" t="s">
        <v>115</v>
      </c>
      <c r="C114" s="67" t="s">
        <v>116</v>
      </c>
      <c r="D114" s="67" t="s">
        <v>117</v>
      </c>
      <c r="E114" s="67" t="s">
        <v>90</v>
      </c>
      <c r="F114" s="67" t="s">
        <v>152</v>
      </c>
      <c r="G114" s="67" t="s">
        <v>94</v>
      </c>
      <c r="H114" s="67" t="s">
        <v>87</v>
      </c>
      <c r="I114" s="67" t="s">
        <v>50</v>
      </c>
      <c r="J114" s="67" t="s">
        <v>88</v>
      </c>
      <c r="K114" s="67"/>
      <c r="L114" s="68" t="s">
        <v>118</v>
      </c>
      <c r="M114" s="68">
        <f>--AND(Configuración!$B$6&lt;&gt;"",OR(E114="Todas",ISNUMBER(SEARCH(Configuración!$B$7,E114))),IF(L114="Monotributo",Configuración!$B$10="Sí",IF(L114="Autónomos",Configuración!$B$11="Sí",IF(L114="Responsable inscripto",Configuración!$B$12="Sí",IF(L114="Empleador",Configuración!$B$13="Sí",IF(L114="Casas particulares",Configuración!$B$14="Sí",IF(L114="Retenciones",Configuración!$B$15="Sí",IF(L114="Sociedad",Configuración!$B$16="Sí",IF(L114="Persona humana",Configuración!$B$17="Sí",IF(L114="Convenio Multilateral",Configuración!$B$18="Sí",FALSE()))))))))))</f>
        <v>0</v>
      </c>
      <c r="N114" s="68" t="str">
        <f>IF(M114=1,COUNTIF($M$2:M114,1),"")</f>
        <v/>
      </c>
      <c r="O114" s="50">
        <f t="shared" ca="1" si="4"/>
        <v>-121</v>
      </c>
      <c r="P114" s="17" t="str">
        <f t="shared" ca="1" si="5"/>
        <v>Vencido hace 121 días</v>
      </c>
      <c r="Q114" s="50">
        <f t="shared" si="6"/>
        <v>46132</v>
      </c>
      <c r="R114" s="17" t="str">
        <f>IF(M114=1,COUNTIFS($Q$2:Q114,Q114,$M$2:M114,1),"")</f>
        <v/>
      </c>
      <c r="S114" s="50" t="str">
        <f t="shared" si="7"/>
        <v/>
      </c>
    </row>
    <row r="115" spans="1:19" ht="45" customHeight="1" x14ac:dyDescent="0.35">
      <c r="A115" s="66">
        <v>46132</v>
      </c>
      <c r="B115" s="67" t="s">
        <v>119</v>
      </c>
      <c r="C115" s="67" t="s">
        <v>120</v>
      </c>
      <c r="D115" s="67" t="s">
        <v>121</v>
      </c>
      <c r="E115" s="67" t="s">
        <v>84</v>
      </c>
      <c r="F115" s="67" t="s">
        <v>152</v>
      </c>
      <c r="G115" s="67" t="s">
        <v>94</v>
      </c>
      <c r="H115" s="67" t="s">
        <v>87</v>
      </c>
      <c r="I115" s="67" t="s">
        <v>50</v>
      </c>
      <c r="J115" s="67" t="s">
        <v>88</v>
      </c>
      <c r="K115" s="67"/>
      <c r="L115" s="68" t="s">
        <v>118</v>
      </c>
      <c r="M115" s="68">
        <f>--AND(Configuración!$B$6&lt;&gt;"",OR(E115="Todas",ISNUMBER(SEARCH(Configuración!$B$7,E115))),IF(L115="Monotributo",Configuración!$B$10="Sí",IF(L115="Autónomos",Configuración!$B$11="Sí",IF(L115="Responsable inscripto",Configuración!$B$12="Sí",IF(L115="Empleador",Configuración!$B$13="Sí",IF(L115="Casas particulares",Configuración!$B$14="Sí",IF(L115="Retenciones",Configuración!$B$15="Sí",IF(L115="Sociedad",Configuración!$B$16="Sí",IF(L115="Persona humana",Configuración!$B$17="Sí",IF(L115="Convenio Multilateral",Configuración!$B$18="Sí",FALSE()))))))))))</f>
        <v>0</v>
      </c>
      <c r="N115" s="68" t="str">
        <f>IF(M115=1,COUNTIF($M$2:M115,1),"")</f>
        <v/>
      </c>
      <c r="O115" s="50">
        <f t="shared" ca="1" si="4"/>
        <v>-121</v>
      </c>
      <c r="P115" s="17" t="str">
        <f t="shared" ca="1" si="5"/>
        <v>Vencido hace 121 días</v>
      </c>
      <c r="Q115" s="50">
        <f t="shared" si="6"/>
        <v>46132</v>
      </c>
      <c r="R115" s="17" t="str">
        <f>IF(M115=1,COUNTIFS($Q$2:Q115,Q115,$M$2:M115,1),"")</f>
        <v/>
      </c>
      <c r="S115" s="50" t="str">
        <f t="shared" si="7"/>
        <v/>
      </c>
    </row>
    <row r="116" spans="1:19" ht="45" customHeight="1" x14ac:dyDescent="0.35">
      <c r="A116" s="66">
        <v>46132</v>
      </c>
      <c r="B116" s="67" t="s">
        <v>119</v>
      </c>
      <c r="C116" s="67" t="s">
        <v>120</v>
      </c>
      <c r="D116" s="67" t="s">
        <v>121</v>
      </c>
      <c r="E116" s="67" t="s">
        <v>89</v>
      </c>
      <c r="F116" s="67" t="s">
        <v>152</v>
      </c>
      <c r="G116" s="67" t="s">
        <v>94</v>
      </c>
      <c r="H116" s="67" t="s">
        <v>87</v>
      </c>
      <c r="I116" s="67" t="s">
        <v>50</v>
      </c>
      <c r="J116" s="67" t="s">
        <v>88</v>
      </c>
      <c r="K116" s="67"/>
      <c r="L116" s="68" t="s">
        <v>118</v>
      </c>
      <c r="M116" s="68">
        <f>--AND(Configuración!$B$6&lt;&gt;"",OR(E116="Todas",ISNUMBER(SEARCH(Configuración!$B$7,E116))),IF(L116="Monotributo",Configuración!$B$10="Sí",IF(L116="Autónomos",Configuración!$B$11="Sí",IF(L116="Responsable inscripto",Configuración!$B$12="Sí",IF(L116="Empleador",Configuración!$B$13="Sí",IF(L116="Casas particulares",Configuración!$B$14="Sí",IF(L116="Retenciones",Configuración!$B$15="Sí",IF(L116="Sociedad",Configuración!$B$16="Sí",IF(L116="Persona humana",Configuración!$B$17="Sí",IF(L116="Convenio Multilateral",Configuración!$B$18="Sí",FALSE()))))))))))</f>
        <v>0</v>
      </c>
      <c r="N116" s="68" t="str">
        <f>IF(M116=1,COUNTIF($M$2:M116,1),"")</f>
        <v/>
      </c>
      <c r="O116" s="50">
        <f t="shared" ca="1" si="4"/>
        <v>-121</v>
      </c>
      <c r="P116" s="17" t="str">
        <f t="shared" ca="1" si="5"/>
        <v>Vencido hace 121 días</v>
      </c>
      <c r="Q116" s="50">
        <f t="shared" si="6"/>
        <v>46132</v>
      </c>
      <c r="R116" s="17" t="str">
        <f>IF(M116=1,COUNTIFS($Q$2:Q116,Q116,$M$2:M116,1),"")</f>
        <v/>
      </c>
      <c r="S116" s="50" t="str">
        <f t="shared" si="7"/>
        <v/>
      </c>
    </row>
    <row r="117" spans="1:19" ht="45" customHeight="1" x14ac:dyDescent="0.35">
      <c r="A117" s="66">
        <v>46132</v>
      </c>
      <c r="B117" s="67" t="s">
        <v>119</v>
      </c>
      <c r="C117" s="67" t="s">
        <v>120</v>
      </c>
      <c r="D117" s="67" t="s">
        <v>121</v>
      </c>
      <c r="E117" s="67" t="s">
        <v>90</v>
      </c>
      <c r="F117" s="67" t="s">
        <v>152</v>
      </c>
      <c r="G117" s="67" t="s">
        <v>94</v>
      </c>
      <c r="H117" s="67" t="s">
        <v>87</v>
      </c>
      <c r="I117" s="67" t="s">
        <v>50</v>
      </c>
      <c r="J117" s="67" t="s">
        <v>88</v>
      </c>
      <c r="K117" s="67"/>
      <c r="L117" s="68" t="s">
        <v>118</v>
      </c>
      <c r="M117" s="68">
        <f>--AND(Configuración!$B$6&lt;&gt;"",OR(E117="Todas",ISNUMBER(SEARCH(Configuración!$B$7,E117))),IF(L117="Monotributo",Configuración!$B$10="Sí",IF(L117="Autónomos",Configuración!$B$11="Sí",IF(L117="Responsable inscripto",Configuración!$B$12="Sí",IF(L117="Empleador",Configuración!$B$13="Sí",IF(L117="Casas particulares",Configuración!$B$14="Sí",IF(L117="Retenciones",Configuración!$B$15="Sí",IF(L117="Sociedad",Configuración!$B$16="Sí",IF(L117="Persona humana",Configuración!$B$17="Sí",IF(L117="Convenio Multilateral",Configuración!$B$18="Sí",FALSE()))))))))))</f>
        <v>0</v>
      </c>
      <c r="N117" s="68" t="str">
        <f>IF(M117=1,COUNTIF($M$2:M117,1),"")</f>
        <v/>
      </c>
      <c r="O117" s="50">
        <f t="shared" ca="1" si="4"/>
        <v>-121</v>
      </c>
      <c r="P117" s="17" t="str">
        <f t="shared" ca="1" si="5"/>
        <v>Vencido hace 121 días</v>
      </c>
      <c r="Q117" s="50">
        <f t="shared" si="6"/>
        <v>46132</v>
      </c>
      <c r="R117" s="17" t="str">
        <f>IF(M117=1,COUNTIFS($Q$2:Q117,Q117,$M$2:M117,1),"")</f>
        <v/>
      </c>
      <c r="S117" s="50" t="str">
        <f t="shared" si="7"/>
        <v/>
      </c>
    </row>
    <row r="118" spans="1:19" ht="45" customHeight="1" x14ac:dyDescent="0.35">
      <c r="A118" s="66">
        <v>46132</v>
      </c>
      <c r="B118" s="67" t="s">
        <v>122</v>
      </c>
      <c r="C118" s="67" t="s">
        <v>123</v>
      </c>
      <c r="D118" s="67" t="s">
        <v>124</v>
      </c>
      <c r="E118" s="67" t="s">
        <v>84</v>
      </c>
      <c r="F118" s="67" t="s">
        <v>152</v>
      </c>
      <c r="G118" s="67" t="s">
        <v>109</v>
      </c>
      <c r="H118" s="67" t="s">
        <v>87</v>
      </c>
      <c r="I118" s="67" t="s">
        <v>50</v>
      </c>
      <c r="J118" s="67" t="s">
        <v>88</v>
      </c>
      <c r="K118" s="67" t="s">
        <v>125</v>
      </c>
      <c r="L118" s="68" t="s">
        <v>118</v>
      </c>
      <c r="M118" s="68">
        <f>--AND(Configuración!$B$6&lt;&gt;"",OR(E118="Todas",ISNUMBER(SEARCH(Configuración!$B$7,E118))),IF(L118="Monotributo",Configuración!$B$10="Sí",IF(L118="Autónomos",Configuración!$B$11="Sí",IF(L118="Responsable inscripto",Configuración!$B$12="Sí",IF(L118="Empleador",Configuración!$B$13="Sí",IF(L118="Casas particulares",Configuración!$B$14="Sí",IF(L118="Retenciones",Configuración!$B$15="Sí",IF(L118="Sociedad",Configuración!$B$16="Sí",IF(L118="Persona humana",Configuración!$B$17="Sí",IF(L118="Convenio Multilateral",Configuración!$B$18="Sí",FALSE()))))))))))</f>
        <v>0</v>
      </c>
      <c r="N118" s="68" t="str">
        <f>IF(M118=1,COUNTIF($M$2:M118,1),"")</f>
        <v/>
      </c>
      <c r="O118" s="50">
        <f t="shared" ca="1" si="4"/>
        <v>-121</v>
      </c>
      <c r="P118" s="17" t="str">
        <f t="shared" ca="1" si="5"/>
        <v>Vencido hace 121 días</v>
      </c>
      <c r="Q118" s="50">
        <f t="shared" si="6"/>
        <v>46132</v>
      </c>
      <c r="R118" s="17" t="str">
        <f>IF(M118=1,COUNTIFS($Q$2:Q118,Q118,$M$2:M118,1),"")</f>
        <v/>
      </c>
      <c r="S118" s="50" t="str">
        <f t="shared" si="7"/>
        <v/>
      </c>
    </row>
    <row r="119" spans="1:19" ht="45" customHeight="1" x14ac:dyDescent="0.35">
      <c r="A119" s="66">
        <v>46132</v>
      </c>
      <c r="B119" s="67" t="s">
        <v>122</v>
      </c>
      <c r="C119" s="67" t="s">
        <v>123</v>
      </c>
      <c r="D119" s="67" t="s">
        <v>124</v>
      </c>
      <c r="E119" s="67" t="s">
        <v>89</v>
      </c>
      <c r="F119" s="67" t="s">
        <v>152</v>
      </c>
      <c r="G119" s="67" t="s">
        <v>109</v>
      </c>
      <c r="H119" s="67" t="s">
        <v>87</v>
      </c>
      <c r="I119" s="67" t="s">
        <v>50</v>
      </c>
      <c r="J119" s="67" t="s">
        <v>88</v>
      </c>
      <c r="K119" s="67" t="s">
        <v>125</v>
      </c>
      <c r="L119" s="68" t="s">
        <v>118</v>
      </c>
      <c r="M119" s="68">
        <f>--AND(Configuración!$B$6&lt;&gt;"",OR(E119="Todas",ISNUMBER(SEARCH(Configuración!$B$7,E119))),IF(L119="Monotributo",Configuración!$B$10="Sí",IF(L119="Autónomos",Configuración!$B$11="Sí",IF(L119="Responsable inscripto",Configuración!$B$12="Sí",IF(L119="Empleador",Configuración!$B$13="Sí",IF(L119="Casas particulares",Configuración!$B$14="Sí",IF(L119="Retenciones",Configuración!$B$15="Sí",IF(L119="Sociedad",Configuración!$B$16="Sí",IF(L119="Persona humana",Configuración!$B$17="Sí",IF(L119="Convenio Multilateral",Configuración!$B$18="Sí",FALSE()))))))))))</f>
        <v>0</v>
      </c>
      <c r="N119" s="68" t="str">
        <f>IF(M119=1,COUNTIF($M$2:M119,1),"")</f>
        <v/>
      </c>
      <c r="O119" s="50">
        <f t="shared" ca="1" si="4"/>
        <v>-121</v>
      </c>
      <c r="P119" s="17" t="str">
        <f t="shared" ca="1" si="5"/>
        <v>Vencido hace 121 días</v>
      </c>
      <c r="Q119" s="50">
        <f t="shared" si="6"/>
        <v>46132</v>
      </c>
      <c r="R119" s="17" t="str">
        <f>IF(M119=1,COUNTIFS($Q$2:Q119,Q119,$M$2:M119,1),"")</f>
        <v/>
      </c>
      <c r="S119" s="50" t="str">
        <f t="shared" si="7"/>
        <v/>
      </c>
    </row>
    <row r="120" spans="1:19" ht="45" customHeight="1" x14ac:dyDescent="0.35">
      <c r="A120" s="66">
        <v>46132</v>
      </c>
      <c r="B120" s="67" t="s">
        <v>122</v>
      </c>
      <c r="C120" s="67" t="s">
        <v>123</v>
      </c>
      <c r="D120" s="67" t="s">
        <v>124</v>
      </c>
      <c r="E120" s="67" t="s">
        <v>90</v>
      </c>
      <c r="F120" s="67" t="s">
        <v>152</v>
      </c>
      <c r="G120" s="67" t="s">
        <v>109</v>
      </c>
      <c r="H120" s="67" t="s">
        <v>87</v>
      </c>
      <c r="I120" s="67" t="s">
        <v>50</v>
      </c>
      <c r="J120" s="67" t="s">
        <v>88</v>
      </c>
      <c r="K120" s="67" t="s">
        <v>125</v>
      </c>
      <c r="L120" s="68" t="s">
        <v>118</v>
      </c>
      <c r="M120" s="68">
        <f>--AND(Configuración!$B$6&lt;&gt;"",OR(E120="Todas",ISNUMBER(SEARCH(Configuración!$B$7,E120))),IF(L120="Monotributo",Configuración!$B$10="Sí",IF(L120="Autónomos",Configuración!$B$11="Sí",IF(L120="Responsable inscripto",Configuración!$B$12="Sí",IF(L120="Empleador",Configuración!$B$13="Sí",IF(L120="Casas particulares",Configuración!$B$14="Sí",IF(L120="Retenciones",Configuración!$B$15="Sí",IF(L120="Sociedad",Configuración!$B$16="Sí",IF(L120="Persona humana",Configuración!$B$17="Sí",IF(L120="Convenio Multilateral",Configuración!$B$18="Sí",FALSE()))))))))))</f>
        <v>0</v>
      </c>
      <c r="N120" s="68" t="str">
        <f>IF(M120=1,COUNTIF($M$2:M120,1),"")</f>
        <v/>
      </c>
      <c r="O120" s="50">
        <f t="shared" ca="1" si="4"/>
        <v>-121</v>
      </c>
      <c r="P120" s="17" t="str">
        <f t="shared" ca="1" si="5"/>
        <v>Vencido hace 121 días</v>
      </c>
      <c r="Q120" s="50">
        <f t="shared" si="6"/>
        <v>46132</v>
      </c>
      <c r="R120" s="17" t="str">
        <f>IF(M120=1,COUNTIFS($Q$2:Q120,Q120,$M$2:M120,1),"")</f>
        <v/>
      </c>
      <c r="S120" s="50" t="str">
        <f t="shared" si="7"/>
        <v/>
      </c>
    </row>
    <row r="121" spans="1:19" ht="30" customHeight="1" x14ac:dyDescent="0.35">
      <c r="A121" s="66">
        <v>46132</v>
      </c>
      <c r="B121" s="67" t="s">
        <v>24</v>
      </c>
      <c r="C121" s="67" t="s">
        <v>126</v>
      </c>
      <c r="D121" s="67" t="s">
        <v>127</v>
      </c>
      <c r="E121" s="67" t="s">
        <v>104</v>
      </c>
      <c r="F121" s="67" t="s">
        <v>155</v>
      </c>
      <c r="G121" s="67" t="s">
        <v>86</v>
      </c>
      <c r="H121" s="67" t="s">
        <v>87</v>
      </c>
      <c r="I121" s="67" t="s">
        <v>50</v>
      </c>
      <c r="J121" s="67" t="s">
        <v>129</v>
      </c>
      <c r="K121" s="67" t="s">
        <v>130</v>
      </c>
      <c r="L121" s="68" t="s">
        <v>24</v>
      </c>
      <c r="M121" s="68">
        <f>--AND(Configuración!$B$6&lt;&gt;"",OR(E121="Todas",ISNUMBER(SEARCH(Configuración!$B$7,E121))),IF(L121="Monotributo",Configuración!$B$10="Sí",IF(L121="Autónomos",Configuración!$B$11="Sí",IF(L121="Responsable inscripto",Configuración!$B$12="Sí",IF(L121="Empleador",Configuración!$B$13="Sí",IF(L121="Casas particulares",Configuración!$B$14="Sí",IF(L121="Retenciones",Configuración!$B$15="Sí",IF(L121="Sociedad",Configuración!$B$16="Sí",IF(L121="Persona humana",Configuración!$B$17="Sí",IF(L121="Convenio Multilateral",Configuración!$B$18="Sí",FALSE()))))))))))</f>
        <v>0</v>
      </c>
      <c r="N121" s="68" t="str">
        <f>IF(M121=1,COUNTIF($M$2:M121,1),"")</f>
        <v/>
      </c>
      <c r="O121" s="50">
        <f t="shared" ca="1" si="4"/>
        <v>-121</v>
      </c>
      <c r="P121" s="17" t="str">
        <f t="shared" ca="1" si="5"/>
        <v>Vencido hace 121 días</v>
      </c>
      <c r="Q121" s="50">
        <f t="shared" si="6"/>
        <v>46132</v>
      </c>
      <c r="R121" s="17" t="str">
        <f>IF(M121=1,COUNTIFS($Q$2:Q121,Q121,$M$2:M121,1),"")</f>
        <v/>
      </c>
      <c r="S121" s="50" t="str">
        <f t="shared" si="7"/>
        <v/>
      </c>
    </row>
    <row r="122" spans="1:19" ht="45" customHeight="1" x14ac:dyDescent="0.35">
      <c r="A122" s="66">
        <v>46132.625</v>
      </c>
      <c r="B122" s="67" t="s">
        <v>137</v>
      </c>
      <c r="C122" s="67" t="s">
        <v>138</v>
      </c>
      <c r="D122" s="67" t="s">
        <v>139</v>
      </c>
      <c r="E122" s="67" t="s">
        <v>147</v>
      </c>
      <c r="F122" s="67" t="s">
        <v>154</v>
      </c>
      <c r="G122" s="67" t="s">
        <v>94</v>
      </c>
      <c r="H122" s="67" t="s">
        <v>142</v>
      </c>
      <c r="I122" s="67" t="s">
        <v>50</v>
      </c>
      <c r="J122" s="67" t="s">
        <v>150</v>
      </c>
      <c r="K122" s="67" t="s">
        <v>151</v>
      </c>
      <c r="L122" s="68" t="s">
        <v>33</v>
      </c>
      <c r="M122" s="68">
        <f>--AND(Configuración!$B$6&lt;&gt;"",OR(E122="Todas",ISNUMBER(SEARCH(Configuración!$B$7,E122))),IF(L122="Monotributo",Configuración!$B$10="Sí",IF(L122="Autónomos",Configuración!$B$11="Sí",IF(L122="Responsable inscripto",Configuración!$B$12="Sí",IF(L122="Empleador",Configuración!$B$13="Sí",IF(L122="Casas particulares",Configuración!$B$14="Sí",IF(L122="Retenciones",Configuración!$B$15="Sí",IF(L122="Sociedad",Configuración!$B$16="Sí",IF(L122="Persona humana",Configuración!$B$17="Sí",IF(L122="Convenio Multilateral",Configuración!$B$18="Sí",FALSE()))))))))))</f>
        <v>0</v>
      </c>
      <c r="N122" s="68" t="str">
        <f>IF(M122=1,COUNTIF($M$2:M122,1),"")</f>
        <v/>
      </c>
      <c r="O122" s="50">
        <f t="shared" ca="1" si="4"/>
        <v>-121</v>
      </c>
      <c r="P122" s="17" t="str">
        <f t="shared" ca="1" si="5"/>
        <v>Vencido hace 121 días</v>
      </c>
      <c r="Q122" s="50">
        <f t="shared" si="6"/>
        <v>46132</v>
      </c>
      <c r="R122" s="17" t="str">
        <f>IF(M122=1,COUNTIFS($Q$2:Q122,Q122,$M$2:M122,1),"")</f>
        <v/>
      </c>
      <c r="S122" s="50" t="str">
        <f t="shared" si="7"/>
        <v/>
      </c>
    </row>
    <row r="123" spans="1:19" ht="45" customHeight="1" x14ac:dyDescent="0.35">
      <c r="A123" s="66">
        <v>46146</v>
      </c>
      <c r="B123" s="67" t="s">
        <v>26</v>
      </c>
      <c r="C123" s="67" t="s">
        <v>82</v>
      </c>
      <c r="D123" s="67" t="s">
        <v>83</v>
      </c>
      <c r="E123" s="67" t="s">
        <v>84</v>
      </c>
      <c r="F123" s="67" t="s">
        <v>155</v>
      </c>
      <c r="G123" s="67" t="s">
        <v>86</v>
      </c>
      <c r="H123" s="67" t="s">
        <v>87</v>
      </c>
      <c r="I123" s="67" t="s">
        <v>50</v>
      </c>
      <c r="J123" s="67" t="s">
        <v>88</v>
      </c>
      <c r="K123" s="67"/>
      <c r="L123" s="68" t="s">
        <v>26</v>
      </c>
      <c r="M123" s="68">
        <f>--AND(Configuración!$B$6&lt;&gt;"",OR(E123="Todas",ISNUMBER(SEARCH(Configuración!$B$7,E123))),IF(L123="Monotributo",Configuración!$B$10="Sí",IF(L123="Autónomos",Configuración!$B$11="Sí",IF(L123="Responsable inscripto",Configuración!$B$12="Sí",IF(L123="Empleador",Configuración!$B$13="Sí",IF(L123="Casas particulares",Configuración!$B$14="Sí",IF(L123="Retenciones",Configuración!$B$15="Sí",IF(L123="Sociedad",Configuración!$B$16="Sí",IF(L123="Persona humana",Configuración!$B$17="Sí",IF(L123="Convenio Multilateral",Configuración!$B$18="Sí",FALSE()))))))))))</f>
        <v>0</v>
      </c>
      <c r="N123" s="68" t="str">
        <f>IF(M123=1,COUNTIF($M$2:M123,1),"")</f>
        <v/>
      </c>
      <c r="O123" s="50">
        <f t="shared" ca="1" si="4"/>
        <v>-107</v>
      </c>
      <c r="P123" s="17" t="str">
        <f t="shared" ca="1" si="5"/>
        <v>Vencido hace 107 días</v>
      </c>
      <c r="Q123" s="50">
        <f t="shared" si="6"/>
        <v>46146</v>
      </c>
      <c r="R123" s="17" t="str">
        <f>IF(M123=1,COUNTIFS($Q$2:Q123,Q123,$M$2:M123,1),"")</f>
        <v/>
      </c>
      <c r="S123" s="50" t="str">
        <f t="shared" si="7"/>
        <v/>
      </c>
    </row>
    <row r="124" spans="1:19" ht="45" customHeight="1" x14ac:dyDescent="0.35">
      <c r="A124" s="66">
        <v>46146</v>
      </c>
      <c r="B124" s="67" t="s">
        <v>26</v>
      </c>
      <c r="C124" s="67" t="s">
        <v>82</v>
      </c>
      <c r="D124" s="67" t="s">
        <v>83</v>
      </c>
      <c r="E124" s="67" t="s">
        <v>89</v>
      </c>
      <c r="F124" s="67" t="s">
        <v>155</v>
      </c>
      <c r="G124" s="67" t="s">
        <v>86</v>
      </c>
      <c r="H124" s="67" t="s">
        <v>87</v>
      </c>
      <c r="I124" s="67" t="s">
        <v>50</v>
      </c>
      <c r="J124" s="67" t="s">
        <v>88</v>
      </c>
      <c r="K124" s="67"/>
      <c r="L124" s="68" t="s">
        <v>26</v>
      </c>
      <c r="M124" s="68">
        <f>--AND(Configuración!$B$6&lt;&gt;"",OR(E124="Todas",ISNUMBER(SEARCH(Configuración!$B$7,E124))),IF(L124="Monotributo",Configuración!$B$10="Sí",IF(L124="Autónomos",Configuración!$B$11="Sí",IF(L124="Responsable inscripto",Configuración!$B$12="Sí",IF(L124="Empleador",Configuración!$B$13="Sí",IF(L124="Casas particulares",Configuración!$B$14="Sí",IF(L124="Retenciones",Configuración!$B$15="Sí",IF(L124="Sociedad",Configuración!$B$16="Sí",IF(L124="Persona humana",Configuración!$B$17="Sí",IF(L124="Convenio Multilateral",Configuración!$B$18="Sí",FALSE()))))))))))</f>
        <v>0</v>
      </c>
      <c r="N124" s="68" t="str">
        <f>IF(M124=1,COUNTIF($M$2:M124,1),"")</f>
        <v/>
      </c>
      <c r="O124" s="50">
        <f t="shared" ca="1" si="4"/>
        <v>-107</v>
      </c>
      <c r="P124" s="17" t="str">
        <f t="shared" ca="1" si="5"/>
        <v>Vencido hace 107 días</v>
      </c>
      <c r="Q124" s="50">
        <f t="shared" si="6"/>
        <v>46146</v>
      </c>
      <c r="R124" s="17" t="str">
        <f>IF(M124=1,COUNTIFS($Q$2:Q124,Q124,$M$2:M124,1),"")</f>
        <v/>
      </c>
      <c r="S124" s="50" t="str">
        <f t="shared" si="7"/>
        <v/>
      </c>
    </row>
    <row r="125" spans="1:19" ht="45" customHeight="1" x14ac:dyDescent="0.35">
      <c r="A125" s="66">
        <v>46146</v>
      </c>
      <c r="B125" s="67" t="s">
        <v>91</v>
      </c>
      <c r="C125" s="67" t="s">
        <v>92</v>
      </c>
      <c r="D125" s="67" t="s">
        <v>93</v>
      </c>
      <c r="E125" s="67" t="s">
        <v>84</v>
      </c>
      <c r="F125" s="67" t="s">
        <v>155</v>
      </c>
      <c r="G125" s="67" t="s">
        <v>94</v>
      </c>
      <c r="H125" s="67" t="s">
        <v>87</v>
      </c>
      <c r="I125" s="67" t="s">
        <v>50</v>
      </c>
      <c r="J125" s="67" t="s">
        <v>88</v>
      </c>
      <c r="K125" s="67"/>
      <c r="L125" s="68" t="s">
        <v>95</v>
      </c>
      <c r="M125" s="68">
        <f>--AND(Configuración!$B$6&lt;&gt;"",OR(E125="Todas",ISNUMBER(SEARCH(Configuración!$B$7,E125))),IF(L125="Monotributo",Configuración!$B$10="Sí",IF(L125="Autónomos",Configuración!$B$11="Sí",IF(L125="Responsable inscripto",Configuración!$B$12="Sí",IF(L125="Empleador",Configuración!$B$13="Sí",IF(L125="Casas particulares",Configuración!$B$14="Sí",IF(L125="Retenciones",Configuración!$B$15="Sí",IF(L125="Sociedad",Configuración!$B$16="Sí",IF(L125="Persona humana",Configuración!$B$17="Sí",IF(L125="Convenio Multilateral",Configuración!$B$18="Sí",FALSE()))))))))))</f>
        <v>0</v>
      </c>
      <c r="N125" s="68" t="str">
        <f>IF(M125=1,COUNTIF($M$2:M125,1),"")</f>
        <v/>
      </c>
      <c r="O125" s="50">
        <f t="shared" ca="1" si="4"/>
        <v>-107</v>
      </c>
      <c r="P125" s="17" t="str">
        <f t="shared" ca="1" si="5"/>
        <v>Vencido hace 107 días</v>
      </c>
      <c r="Q125" s="50">
        <f t="shared" si="6"/>
        <v>46146</v>
      </c>
      <c r="R125" s="17" t="str">
        <f>IF(M125=1,COUNTIFS($Q$2:Q125,Q125,$M$2:M125,1),"")</f>
        <v/>
      </c>
      <c r="S125" s="50" t="str">
        <f t="shared" si="7"/>
        <v/>
      </c>
    </row>
    <row r="126" spans="1:19" ht="45" customHeight="1" x14ac:dyDescent="0.35">
      <c r="A126" s="66">
        <v>46147</v>
      </c>
      <c r="B126" s="67" t="s">
        <v>26</v>
      </c>
      <c r="C126" s="67" t="s">
        <v>82</v>
      </c>
      <c r="D126" s="67" t="s">
        <v>83</v>
      </c>
      <c r="E126" s="67" t="s">
        <v>90</v>
      </c>
      <c r="F126" s="67" t="s">
        <v>155</v>
      </c>
      <c r="G126" s="67" t="s">
        <v>86</v>
      </c>
      <c r="H126" s="67" t="s">
        <v>87</v>
      </c>
      <c r="I126" s="67" t="s">
        <v>50</v>
      </c>
      <c r="J126" s="67" t="s">
        <v>88</v>
      </c>
      <c r="K126" s="67"/>
      <c r="L126" s="68" t="s">
        <v>26</v>
      </c>
      <c r="M126" s="68">
        <f>--AND(Configuración!$B$6&lt;&gt;"",OR(E126="Todas",ISNUMBER(SEARCH(Configuración!$B$7,E126))),IF(L126="Monotributo",Configuración!$B$10="Sí",IF(L126="Autónomos",Configuración!$B$11="Sí",IF(L126="Responsable inscripto",Configuración!$B$12="Sí",IF(L126="Empleador",Configuración!$B$13="Sí",IF(L126="Casas particulares",Configuración!$B$14="Sí",IF(L126="Retenciones",Configuración!$B$15="Sí",IF(L126="Sociedad",Configuración!$B$16="Sí",IF(L126="Persona humana",Configuración!$B$17="Sí",IF(L126="Convenio Multilateral",Configuración!$B$18="Sí",FALSE()))))))))))</f>
        <v>0</v>
      </c>
      <c r="N126" s="68" t="str">
        <f>IF(M126=1,COUNTIF($M$2:M126,1),"")</f>
        <v/>
      </c>
      <c r="O126" s="50">
        <f t="shared" ca="1" si="4"/>
        <v>-106</v>
      </c>
      <c r="P126" s="17" t="str">
        <f t="shared" ca="1" si="5"/>
        <v>Vencido hace 106 días</v>
      </c>
      <c r="Q126" s="50">
        <f t="shared" si="6"/>
        <v>46147</v>
      </c>
      <c r="R126" s="17" t="str">
        <f>IF(M126=1,COUNTIFS($Q$2:Q126,Q126,$M$2:M126,1),"")</f>
        <v/>
      </c>
      <c r="S126" s="50" t="str">
        <f t="shared" si="7"/>
        <v/>
      </c>
    </row>
    <row r="127" spans="1:19" ht="45" customHeight="1" x14ac:dyDescent="0.35">
      <c r="A127" s="66">
        <v>46147</v>
      </c>
      <c r="B127" s="67" t="s">
        <v>91</v>
      </c>
      <c r="C127" s="67" t="s">
        <v>92</v>
      </c>
      <c r="D127" s="67" t="s">
        <v>93</v>
      </c>
      <c r="E127" s="67" t="s">
        <v>89</v>
      </c>
      <c r="F127" s="67" t="s">
        <v>155</v>
      </c>
      <c r="G127" s="67" t="s">
        <v>94</v>
      </c>
      <c r="H127" s="67" t="s">
        <v>87</v>
      </c>
      <c r="I127" s="67" t="s">
        <v>50</v>
      </c>
      <c r="J127" s="67" t="s">
        <v>88</v>
      </c>
      <c r="K127" s="67"/>
      <c r="L127" s="68" t="s">
        <v>95</v>
      </c>
      <c r="M127" s="68">
        <f>--AND(Configuración!$B$6&lt;&gt;"",OR(E127="Todas",ISNUMBER(SEARCH(Configuración!$B$7,E127))),IF(L127="Monotributo",Configuración!$B$10="Sí",IF(L127="Autónomos",Configuración!$B$11="Sí",IF(L127="Responsable inscripto",Configuración!$B$12="Sí",IF(L127="Empleador",Configuración!$B$13="Sí",IF(L127="Casas particulares",Configuración!$B$14="Sí",IF(L127="Retenciones",Configuración!$B$15="Sí",IF(L127="Sociedad",Configuración!$B$16="Sí",IF(L127="Persona humana",Configuración!$B$17="Sí",IF(L127="Convenio Multilateral",Configuración!$B$18="Sí",FALSE()))))))))))</f>
        <v>0</v>
      </c>
      <c r="N127" s="68" t="str">
        <f>IF(M127=1,COUNTIF($M$2:M127,1),"")</f>
        <v/>
      </c>
      <c r="O127" s="50">
        <f t="shared" ca="1" si="4"/>
        <v>-106</v>
      </c>
      <c r="P127" s="17" t="str">
        <f t="shared" ca="1" si="5"/>
        <v>Vencido hace 106 días</v>
      </c>
      <c r="Q127" s="50">
        <f t="shared" si="6"/>
        <v>46147</v>
      </c>
      <c r="R127" s="17" t="str">
        <f>IF(M127=1,COUNTIFS($Q$2:Q127,Q127,$M$2:M127,1),"")</f>
        <v/>
      </c>
      <c r="S127" s="50" t="str">
        <f t="shared" si="7"/>
        <v/>
      </c>
    </row>
    <row r="128" spans="1:19" ht="45" customHeight="1" x14ac:dyDescent="0.35">
      <c r="A128" s="66">
        <v>46148</v>
      </c>
      <c r="B128" s="67" t="s">
        <v>91</v>
      </c>
      <c r="C128" s="67" t="s">
        <v>92</v>
      </c>
      <c r="D128" s="67" t="s">
        <v>93</v>
      </c>
      <c r="E128" s="67" t="s">
        <v>90</v>
      </c>
      <c r="F128" s="67" t="s">
        <v>155</v>
      </c>
      <c r="G128" s="67" t="s">
        <v>94</v>
      </c>
      <c r="H128" s="67" t="s">
        <v>87</v>
      </c>
      <c r="I128" s="67" t="s">
        <v>50</v>
      </c>
      <c r="J128" s="67" t="s">
        <v>88</v>
      </c>
      <c r="K128" s="67"/>
      <c r="L128" s="68" t="s">
        <v>95</v>
      </c>
      <c r="M128" s="68">
        <f>--AND(Configuración!$B$6&lt;&gt;"",OR(E128="Todas",ISNUMBER(SEARCH(Configuración!$B$7,E128))),IF(L128="Monotributo",Configuración!$B$10="Sí",IF(L128="Autónomos",Configuración!$B$11="Sí",IF(L128="Responsable inscripto",Configuración!$B$12="Sí",IF(L128="Empleador",Configuración!$B$13="Sí",IF(L128="Casas particulares",Configuración!$B$14="Sí",IF(L128="Retenciones",Configuración!$B$15="Sí",IF(L128="Sociedad",Configuración!$B$16="Sí",IF(L128="Persona humana",Configuración!$B$17="Sí",IF(L128="Convenio Multilateral",Configuración!$B$18="Sí",FALSE()))))))))))</f>
        <v>0</v>
      </c>
      <c r="N128" s="68" t="str">
        <f>IF(M128=1,COUNTIF($M$2:M128,1),"")</f>
        <v/>
      </c>
      <c r="O128" s="50">
        <f t="shared" ca="1" si="4"/>
        <v>-105</v>
      </c>
      <c r="P128" s="17" t="str">
        <f t="shared" ca="1" si="5"/>
        <v>Vencido hace 105 días</v>
      </c>
      <c r="Q128" s="50">
        <f t="shared" si="6"/>
        <v>46148</v>
      </c>
      <c r="R128" s="17" t="str">
        <f>IF(M128=1,COUNTIFS($Q$2:Q128,Q128,$M$2:M128,1),"")</f>
        <v/>
      </c>
      <c r="S128" s="50" t="str">
        <f t="shared" si="7"/>
        <v/>
      </c>
    </row>
    <row r="129" spans="1:19" ht="45" customHeight="1" x14ac:dyDescent="0.35">
      <c r="A129" s="66">
        <v>46149</v>
      </c>
      <c r="B129" s="67" t="s">
        <v>96</v>
      </c>
      <c r="C129" s="67" t="s">
        <v>97</v>
      </c>
      <c r="D129" s="67" t="s">
        <v>98</v>
      </c>
      <c r="E129" s="67" t="s">
        <v>84</v>
      </c>
      <c r="F129" s="67" t="s">
        <v>155</v>
      </c>
      <c r="G129" s="67" t="s">
        <v>94</v>
      </c>
      <c r="H129" s="67" t="s">
        <v>87</v>
      </c>
      <c r="I129" s="67" t="s">
        <v>50</v>
      </c>
      <c r="J129" s="67" t="s">
        <v>88</v>
      </c>
      <c r="K129" s="67"/>
      <c r="L129" s="68" t="s">
        <v>99</v>
      </c>
      <c r="M129" s="68">
        <f>--AND(Configuración!$B$6&lt;&gt;"",OR(E129="Todas",ISNUMBER(SEARCH(Configuración!$B$7,E129))),IF(L129="Monotributo",Configuración!$B$10="Sí",IF(L129="Autónomos",Configuración!$B$11="Sí",IF(L129="Responsable inscripto",Configuración!$B$12="Sí",IF(L129="Empleador",Configuración!$B$13="Sí",IF(L129="Casas particulares",Configuración!$B$14="Sí",IF(L129="Retenciones",Configuración!$B$15="Sí",IF(L129="Sociedad",Configuración!$B$16="Sí",IF(L129="Persona humana",Configuración!$B$17="Sí",IF(L129="Convenio Multilateral",Configuración!$B$18="Sí",FALSE()))))))))))</f>
        <v>0</v>
      </c>
      <c r="N129" s="68" t="str">
        <f>IF(M129=1,COUNTIF($M$2:M129,1),"")</f>
        <v/>
      </c>
      <c r="O129" s="50">
        <f t="shared" ca="1" si="4"/>
        <v>-104</v>
      </c>
      <c r="P129" s="17" t="str">
        <f t="shared" ca="1" si="5"/>
        <v>Vencido hace 104 días</v>
      </c>
      <c r="Q129" s="50">
        <f t="shared" si="6"/>
        <v>46149</v>
      </c>
      <c r="R129" s="17" t="str">
        <f>IF(M129=1,COUNTIFS($Q$2:Q129,Q129,$M$2:M129,1),"")</f>
        <v/>
      </c>
      <c r="S129" s="50" t="str">
        <f t="shared" si="7"/>
        <v/>
      </c>
    </row>
    <row r="130" spans="1:19" ht="45" customHeight="1" x14ac:dyDescent="0.35">
      <c r="A130" s="66">
        <v>46150</v>
      </c>
      <c r="B130" s="67" t="s">
        <v>96</v>
      </c>
      <c r="C130" s="67" t="s">
        <v>97</v>
      </c>
      <c r="D130" s="67" t="s">
        <v>98</v>
      </c>
      <c r="E130" s="67" t="s">
        <v>89</v>
      </c>
      <c r="F130" s="67" t="s">
        <v>155</v>
      </c>
      <c r="G130" s="67" t="s">
        <v>94</v>
      </c>
      <c r="H130" s="67" t="s">
        <v>87</v>
      </c>
      <c r="I130" s="67" t="s">
        <v>50</v>
      </c>
      <c r="J130" s="67" t="s">
        <v>88</v>
      </c>
      <c r="K130" s="67"/>
      <c r="L130" s="68" t="s">
        <v>99</v>
      </c>
      <c r="M130" s="68">
        <f>--AND(Configuración!$B$6&lt;&gt;"",OR(E130="Todas",ISNUMBER(SEARCH(Configuración!$B$7,E130))),IF(L130="Monotributo",Configuración!$B$10="Sí",IF(L130="Autónomos",Configuración!$B$11="Sí",IF(L130="Responsable inscripto",Configuración!$B$12="Sí",IF(L130="Empleador",Configuración!$B$13="Sí",IF(L130="Casas particulares",Configuración!$B$14="Sí",IF(L130="Retenciones",Configuración!$B$15="Sí",IF(L130="Sociedad",Configuración!$B$16="Sí",IF(L130="Persona humana",Configuración!$B$17="Sí",IF(L130="Convenio Multilateral",Configuración!$B$18="Sí",FALSE()))))))))))</f>
        <v>0</v>
      </c>
      <c r="N130" s="68" t="str">
        <f>IF(M130=1,COUNTIF($M$2:M130,1),"")</f>
        <v/>
      </c>
      <c r="O130" s="50">
        <f t="shared" ref="O130:O193" ca="1" si="8">IFERROR(INT(A130)-TODAY(),"")</f>
        <v>-103</v>
      </c>
      <c r="P130" s="17" t="str">
        <f t="shared" ref="P130:P193" ca="1" si="9">IF(A130="","",IF(O130&lt;0,"Vencido hace "&amp;-O130&amp;IF(O130=-1," día"," días"),IF(O130=0,"Vence hoy",IF(O130=1,"Vence mañana","Faltan "&amp;O130&amp;" días"))))</f>
        <v>Vencido hace 103 días</v>
      </c>
      <c r="Q130" s="50">
        <f t="shared" ref="Q130:Q193" si="10">IF(A130="","",INT(A130))</f>
        <v>46150</v>
      </c>
      <c r="R130" s="17" t="str">
        <f>IF(M130=1,COUNTIFS($Q$2:Q130,Q130,$M$2:M130,1),"")</f>
        <v/>
      </c>
      <c r="S130" s="50" t="str">
        <f t="shared" ref="S130:S193" si="11">IF(M130=1,Q130*10+R130,"")</f>
        <v/>
      </c>
    </row>
    <row r="131" spans="1:19" ht="45" customHeight="1" x14ac:dyDescent="0.35">
      <c r="A131" s="66">
        <v>46153</v>
      </c>
      <c r="B131" s="67" t="s">
        <v>29</v>
      </c>
      <c r="C131" s="67" t="s">
        <v>102</v>
      </c>
      <c r="D131" s="67" t="s">
        <v>103</v>
      </c>
      <c r="E131" s="67" t="s">
        <v>104</v>
      </c>
      <c r="F131" s="67" t="s">
        <v>155</v>
      </c>
      <c r="G131" s="67" t="s">
        <v>86</v>
      </c>
      <c r="H131" s="67" t="s">
        <v>87</v>
      </c>
      <c r="I131" s="67" t="s">
        <v>50</v>
      </c>
      <c r="J131" s="67" t="s">
        <v>88</v>
      </c>
      <c r="K131" s="67"/>
      <c r="L131" s="68" t="s">
        <v>29</v>
      </c>
      <c r="M131" s="68">
        <f>--AND(Configuración!$B$6&lt;&gt;"",OR(E131="Todas",ISNUMBER(SEARCH(Configuración!$B$7,E131))),IF(L131="Monotributo",Configuración!$B$10="Sí",IF(L131="Autónomos",Configuración!$B$11="Sí",IF(L131="Responsable inscripto",Configuración!$B$12="Sí",IF(L131="Empleador",Configuración!$B$13="Sí",IF(L131="Casas particulares",Configuración!$B$14="Sí",IF(L131="Retenciones",Configuración!$B$15="Sí",IF(L131="Sociedad",Configuración!$B$16="Sí",IF(L131="Persona humana",Configuración!$B$17="Sí",IF(L131="Convenio Multilateral",Configuración!$B$18="Sí",FALSE()))))))))))</f>
        <v>0</v>
      </c>
      <c r="N131" s="68" t="str">
        <f>IF(M131=1,COUNTIF($M$2:M131,1),"")</f>
        <v/>
      </c>
      <c r="O131" s="50">
        <f t="shared" ca="1" si="8"/>
        <v>-100</v>
      </c>
      <c r="P131" s="17" t="str">
        <f t="shared" ca="1" si="9"/>
        <v>Vencido hace 100 días</v>
      </c>
      <c r="Q131" s="50">
        <f t="shared" si="10"/>
        <v>46153</v>
      </c>
      <c r="R131" s="17" t="str">
        <f>IF(M131=1,COUNTIFS($Q$2:Q131,Q131,$M$2:M131,1),"")</f>
        <v/>
      </c>
      <c r="S131" s="50" t="str">
        <f t="shared" si="11"/>
        <v/>
      </c>
    </row>
    <row r="132" spans="1:19" ht="45" customHeight="1" x14ac:dyDescent="0.35">
      <c r="A132" s="66">
        <v>46153</v>
      </c>
      <c r="B132" s="67" t="s">
        <v>96</v>
      </c>
      <c r="C132" s="67" t="s">
        <v>97</v>
      </c>
      <c r="D132" s="67" t="s">
        <v>98</v>
      </c>
      <c r="E132" s="67" t="s">
        <v>90</v>
      </c>
      <c r="F132" s="67" t="s">
        <v>155</v>
      </c>
      <c r="G132" s="67" t="s">
        <v>94</v>
      </c>
      <c r="H132" s="67" t="s">
        <v>87</v>
      </c>
      <c r="I132" s="67" t="s">
        <v>50</v>
      </c>
      <c r="J132" s="67" t="s">
        <v>88</v>
      </c>
      <c r="K132" s="67"/>
      <c r="L132" s="68" t="s">
        <v>99</v>
      </c>
      <c r="M132" s="68">
        <f>--AND(Configuración!$B$6&lt;&gt;"",OR(E132="Todas",ISNUMBER(SEARCH(Configuración!$B$7,E132))),IF(L132="Monotributo",Configuración!$B$10="Sí",IF(L132="Autónomos",Configuración!$B$11="Sí",IF(L132="Responsable inscripto",Configuración!$B$12="Sí",IF(L132="Empleador",Configuración!$B$13="Sí",IF(L132="Casas particulares",Configuración!$B$14="Sí",IF(L132="Retenciones",Configuración!$B$15="Sí",IF(L132="Sociedad",Configuración!$B$16="Sí",IF(L132="Persona humana",Configuración!$B$17="Sí",IF(L132="Convenio Multilateral",Configuración!$B$18="Sí",FALSE()))))))))))</f>
        <v>0</v>
      </c>
      <c r="N132" s="68" t="str">
        <f>IF(M132=1,COUNTIF($M$2:M132,1),"")</f>
        <v/>
      </c>
      <c r="O132" s="50">
        <f t="shared" ca="1" si="8"/>
        <v>-100</v>
      </c>
      <c r="P132" s="17" t="str">
        <f t="shared" ca="1" si="9"/>
        <v>Vencido hace 100 días</v>
      </c>
      <c r="Q132" s="50">
        <f t="shared" si="10"/>
        <v>46153</v>
      </c>
      <c r="R132" s="17" t="str">
        <f>IF(M132=1,COUNTIFS($Q$2:Q132,Q132,$M$2:M132,1),"")</f>
        <v/>
      </c>
      <c r="S132" s="50" t="str">
        <f t="shared" si="11"/>
        <v/>
      </c>
    </row>
    <row r="133" spans="1:19" ht="45" customHeight="1" x14ac:dyDescent="0.35">
      <c r="A133" s="66">
        <v>46153</v>
      </c>
      <c r="B133" s="67" t="s">
        <v>100</v>
      </c>
      <c r="C133" s="67" t="s">
        <v>101</v>
      </c>
      <c r="D133" s="67" t="s">
        <v>93</v>
      </c>
      <c r="E133" s="67" t="s">
        <v>84</v>
      </c>
      <c r="F133" s="67" t="s">
        <v>155</v>
      </c>
      <c r="G133" s="67" t="s">
        <v>94</v>
      </c>
      <c r="H133" s="67" t="s">
        <v>87</v>
      </c>
      <c r="I133" s="67" t="s">
        <v>50</v>
      </c>
      <c r="J133" s="67" t="s">
        <v>88</v>
      </c>
      <c r="K133" s="67"/>
      <c r="L133" s="68" t="s">
        <v>95</v>
      </c>
      <c r="M133" s="68">
        <f>--AND(Configuración!$B$6&lt;&gt;"",OR(E133="Todas",ISNUMBER(SEARCH(Configuración!$B$7,E133))),IF(L133="Monotributo",Configuración!$B$10="Sí",IF(L133="Autónomos",Configuración!$B$11="Sí",IF(L133="Responsable inscripto",Configuración!$B$12="Sí",IF(L133="Empleador",Configuración!$B$13="Sí",IF(L133="Casas particulares",Configuración!$B$14="Sí",IF(L133="Retenciones",Configuración!$B$15="Sí",IF(L133="Sociedad",Configuración!$B$16="Sí",IF(L133="Persona humana",Configuración!$B$17="Sí",IF(L133="Convenio Multilateral",Configuración!$B$18="Sí",FALSE()))))))))))</f>
        <v>0</v>
      </c>
      <c r="N133" s="68" t="str">
        <f>IF(M133=1,COUNTIF($M$2:M133,1),"")</f>
        <v/>
      </c>
      <c r="O133" s="50">
        <f t="shared" ca="1" si="8"/>
        <v>-100</v>
      </c>
      <c r="P133" s="17" t="str">
        <f t="shared" ca="1" si="9"/>
        <v>Vencido hace 100 días</v>
      </c>
      <c r="Q133" s="50">
        <f t="shared" si="10"/>
        <v>46153</v>
      </c>
      <c r="R133" s="17" t="str">
        <f>IF(M133=1,COUNTIFS($Q$2:Q133,Q133,$M$2:M133,1),"")</f>
        <v/>
      </c>
      <c r="S133" s="50" t="str">
        <f t="shared" si="11"/>
        <v/>
      </c>
    </row>
    <row r="134" spans="1:19" ht="45" customHeight="1" x14ac:dyDescent="0.35">
      <c r="A134" s="66">
        <v>46153</v>
      </c>
      <c r="B134" s="67" t="s">
        <v>100</v>
      </c>
      <c r="C134" s="67" t="s">
        <v>101</v>
      </c>
      <c r="D134" s="67" t="s">
        <v>93</v>
      </c>
      <c r="E134" s="67" t="s">
        <v>89</v>
      </c>
      <c r="F134" s="67" t="s">
        <v>155</v>
      </c>
      <c r="G134" s="67" t="s">
        <v>94</v>
      </c>
      <c r="H134" s="67" t="s">
        <v>87</v>
      </c>
      <c r="I134" s="67" t="s">
        <v>50</v>
      </c>
      <c r="J134" s="67" t="s">
        <v>88</v>
      </c>
      <c r="K134" s="67"/>
      <c r="L134" s="68" t="s">
        <v>95</v>
      </c>
      <c r="M134" s="68">
        <f>--AND(Configuración!$B$6&lt;&gt;"",OR(E134="Todas",ISNUMBER(SEARCH(Configuración!$B$7,E134))),IF(L134="Monotributo",Configuración!$B$10="Sí",IF(L134="Autónomos",Configuración!$B$11="Sí",IF(L134="Responsable inscripto",Configuración!$B$12="Sí",IF(L134="Empleador",Configuración!$B$13="Sí",IF(L134="Casas particulares",Configuración!$B$14="Sí",IF(L134="Retenciones",Configuración!$B$15="Sí",IF(L134="Sociedad",Configuración!$B$16="Sí",IF(L134="Persona humana",Configuración!$B$17="Sí",IF(L134="Convenio Multilateral",Configuración!$B$18="Sí",FALSE()))))))))))</f>
        <v>0</v>
      </c>
      <c r="N134" s="68" t="str">
        <f>IF(M134=1,COUNTIF($M$2:M134,1),"")</f>
        <v/>
      </c>
      <c r="O134" s="50">
        <f t="shared" ca="1" si="8"/>
        <v>-100</v>
      </c>
      <c r="P134" s="17" t="str">
        <f t="shared" ca="1" si="9"/>
        <v>Vencido hace 100 días</v>
      </c>
      <c r="Q134" s="50">
        <f t="shared" si="10"/>
        <v>46153</v>
      </c>
      <c r="R134" s="17" t="str">
        <f>IF(M134=1,COUNTIFS($Q$2:Q134,Q134,$M$2:M134,1),"")</f>
        <v/>
      </c>
      <c r="S134" s="50" t="str">
        <f t="shared" si="11"/>
        <v/>
      </c>
    </row>
    <row r="135" spans="1:19" ht="45" customHeight="1" x14ac:dyDescent="0.35">
      <c r="A135" s="66">
        <v>46153</v>
      </c>
      <c r="B135" s="67" t="s">
        <v>100</v>
      </c>
      <c r="C135" s="67" t="s">
        <v>101</v>
      </c>
      <c r="D135" s="67" t="s">
        <v>93</v>
      </c>
      <c r="E135" s="67" t="s">
        <v>90</v>
      </c>
      <c r="F135" s="67" t="s">
        <v>155</v>
      </c>
      <c r="G135" s="67" t="s">
        <v>94</v>
      </c>
      <c r="H135" s="67" t="s">
        <v>87</v>
      </c>
      <c r="I135" s="67" t="s">
        <v>50</v>
      </c>
      <c r="J135" s="67" t="s">
        <v>88</v>
      </c>
      <c r="K135" s="67"/>
      <c r="L135" s="68" t="s">
        <v>95</v>
      </c>
      <c r="M135" s="68">
        <f>--AND(Configuración!$B$6&lt;&gt;"",OR(E135="Todas",ISNUMBER(SEARCH(Configuración!$B$7,E135))),IF(L135="Monotributo",Configuración!$B$10="Sí",IF(L135="Autónomos",Configuración!$B$11="Sí",IF(L135="Responsable inscripto",Configuración!$B$12="Sí",IF(L135="Empleador",Configuración!$B$13="Sí",IF(L135="Casas particulares",Configuración!$B$14="Sí",IF(L135="Retenciones",Configuración!$B$15="Sí",IF(L135="Sociedad",Configuración!$B$16="Sí",IF(L135="Persona humana",Configuración!$B$17="Sí",IF(L135="Convenio Multilateral",Configuración!$B$18="Sí",FALSE()))))))))))</f>
        <v>0</v>
      </c>
      <c r="N135" s="68" t="str">
        <f>IF(M135=1,COUNTIF($M$2:M135,1),"")</f>
        <v/>
      </c>
      <c r="O135" s="50">
        <f t="shared" ca="1" si="8"/>
        <v>-100</v>
      </c>
      <c r="P135" s="17" t="str">
        <f t="shared" ca="1" si="9"/>
        <v>Vencido hace 100 días</v>
      </c>
      <c r="Q135" s="50">
        <f t="shared" si="10"/>
        <v>46153</v>
      </c>
      <c r="R135" s="17" t="str">
        <f>IF(M135=1,COUNTIFS($Q$2:Q135,Q135,$M$2:M135,1),"")</f>
        <v/>
      </c>
      <c r="S135" s="50" t="str">
        <f t="shared" si="11"/>
        <v/>
      </c>
    </row>
    <row r="136" spans="1:19" ht="45" customHeight="1" x14ac:dyDescent="0.35">
      <c r="A136" s="66">
        <v>46155.625</v>
      </c>
      <c r="B136" s="67" t="s">
        <v>105</v>
      </c>
      <c r="C136" s="67" t="s">
        <v>106</v>
      </c>
      <c r="D136" s="67" t="s">
        <v>107</v>
      </c>
      <c r="E136" s="67" t="s">
        <v>84</v>
      </c>
      <c r="F136" s="67" t="s">
        <v>156</v>
      </c>
      <c r="G136" s="67" t="s">
        <v>109</v>
      </c>
      <c r="H136" s="67" t="s">
        <v>87</v>
      </c>
      <c r="I136" s="67" t="s">
        <v>50</v>
      </c>
      <c r="J136" s="67" t="s">
        <v>110</v>
      </c>
      <c r="K136" s="67" t="s">
        <v>111</v>
      </c>
      <c r="L136" s="68" t="s">
        <v>112</v>
      </c>
      <c r="M136" s="68">
        <f>--AND(Configuración!$B$6&lt;&gt;"",OR(E136="Todas",ISNUMBER(SEARCH(Configuración!$B$7,E136))),IF(L136="Monotributo",Configuración!$B$10="Sí",IF(L136="Autónomos",Configuración!$B$11="Sí",IF(L136="Responsable inscripto",Configuración!$B$12="Sí",IF(L136="Empleador",Configuración!$B$13="Sí",IF(L136="Casas particulares",Configuración!$B$14="Sí",IF(L136="Retenciones",Configuración!$B$15="Sí",IF(L136="Sociedad",Configuración!$B$16="Sí",IF(L136="Persona humana",Configuración!$B$17="Sí",IF(L136="Convenio Multilateral",Configuración!$B$18="Sí",FALSE()))))))))))</f>
        <v>0</v>
      </c>
      <c r="N136" s="68" t="str">
        <f>IF(M136=1,COUNTIF($M$2:M136,1),"")</f>
        <v/>
      </c>
      <c r="O136" s="50">
        <f t="shared" ca="1" si="8"/>
        <v>-98</v>
      </c>
      <c r="P136" s="17" t="str">
        <f t="shared" ca="1" si="9"/>
        <v>Vencido hace 98 días</v>
      </c>
      <c r="Q136" s="50">
        <f t="shared" si="10"/>
        <v>46155</v>
      </c>
      <c r="R136" s="17" t="str">
        <f>IF(M136=1,COUNTIFS($Q$2:Q136,Q136,$M$2:M136,1),"")</f>
        <v/>
      </c>
      <c r="S136" s="50" t="str">
        <f t="shared" si="11"/>
        <v/>
      </c>
    </row>
    <row r="137" spans="1:19" ht="45" customHeight="1" x14ac:dyDescent="0.35">
      <c r="A137" s="66">
        <v>46156.625</v>
      </c>
      <c r="B137" s="67" t="s">
        <v>105</v>
      </c>
      <c r="C137" s="67" t="s">
        <v>106</v>
      </c>
      <c r="D137" s="67" t="s">
        <v>107</v>
      </c>
      <c r="E137" s="67" t="s">
        <v>89</v>
      </c>
      <c r="F137" s="67" t="s">
        <v>156</v>
      </c>
      <c r="G137" s="67" t="s">
        <v>109</v>
      </c>
      <c r="H137" s="67" t="s">
        <v>87</v>
      </c>
      <c r="I137" s="67" t="s">
        <v>50</v>
      </c>
      <c r="J137" s="67" t="s">
        <v>110</v>
      </c>
      <c r="K137" s="67" t="s">
        <v>111</v>
      </c>
      <c r="L137" s="68" t="s">
        <v>112</v>
      </c>
      <c r="M137" s="68">
        <f>--AND(Configuración!$B$6&lt;&gt;"",OR(E137="Todas",ISNUMBER(SEARCH(Configuración!$B$7,E137))),IF(L137="Monotributo",Configuración!$B$10="Sí",IF(L137="Autónomos",Configuración!$B$11="Sí",IF(L137="Responsable inscripto",Configuración!$B$12="Sí",IF(L137="Empleador",Configuración!$B$13="Sí",IF(L137="Casas particulares",Configuración!$B$14="Sí",IF(L137="Retenciones",Configuración!$B$15="Sí",IF(L137="Sociedad",Configuración!$B$16="Sí",IF(L137="Persona humana",Configuración!$B$17="Sí",IF(L137="Convenio Multilateral",Configuración!$B$18="Sí",FALSE()))))))))))</f>
        <v>0</v>
      </c>
      <c r="N137" s="68" t="str">
        <f>IF(M137=1,COUNTIF($M$2:M137,1),"")</f>
        <v/>
      </c>
      <c r="O137" s="50">
        <f t="shared" ca="1" si="8"/>
        <v>-97</v>
      </c>
      <c r="P137" s="17" t="str">
        <f t="shared" ca="1" si="9"/>
        <v>Vencido hace 97 días</v>
      </c>
      <c r="Q137" s="50">
        <f t="shared" si="10"/>
        <v>46156</v>
      </c>
      <c r="R137" s="17" t="str">
        <f>IF(M137=1,COUNTIFS($Q$2:Q137,Q137,$M$2:M137,1),"")</f>
        <v/>
      </c>
      <c r="S137" s="50" t="str">
        <f t="shared" si="11"/>
        <v/>
      </c>
    </row>
    <row r="138" spans="1:19" ht="45" customHeight="1" x14ac:dyDescent="0.35">
      <c r="A138" s="66">
        <v>46157</v>
      </c>
      <c r="B138" s="67" t="s">
        <v>29</v>
      </c>
      <c r="C138" s="67" t="s">
        <v>113</v>
      </c>
      <c r="D138" s="67" t="s">
        <v>114</v>
      </c>
      <c r="E138" s="67" t="s">
        <v>104</v>
      </c>
      <c r="F138" s="67" t="s">
        <v>155</v>
      </c>
      <c r="G138" s="67" t="s">
        <v>86</v>
      </c>
      <c r="H138" s="67" t="s">
        <v>87</v>
      </c>
      <c r="I138" s="67" t="s">
        <v>50</v>
      </c>
      <c r="J138" s="67" t="s">
        <v>88</v>
      </c>
      <c r="K138" s="67"/>
      <c r="L138" s="68" t="s">
        <v>29</v>
      </c>
      <c r="M138" s="68">
        <f>--AND(Configuración!$B$6&lt;&gt;"",OR(E138="Todas",ISNUMBER(SEARCH(Configuración!$B$7,E138))),IF(L138="Monotributo",Configuración!$B$10="Sí",IF(L138="Autónomos",Configuración!$B$11="Sí",IF(L138="Responsable inscripto",Configuración!$B$12="Sí",IF(L138="Empleador",Configuración!$B$13="Sí",IF(L138="Casas particulares",Configuración!$B$14="Sí",IF(L138="Retenciones",Configuración!$B$15="Sí",IF(L138="Sociedad",Configuración!$B$16="Sí",IF(L138="Persona humana",Configuración!$B$17="Sí",IF(L138="Convenio Multilateral",Configuración!$B$18="Sí",FALSE()))))))))))</f>
        <v>0</v>
      </c>
      <c r="N138" s="68" t="str">
        <f>IF(M138=1,COUNTIF($M$2:M138,1),"")</f>
        <v/>
      </c>
      <c r="O138" s="50">
        <f t="shared" ca="1" si="8"/>
        <v>-96</v>
      </c>
      <c r="P138" s="17" t="str">
        <f t="shared" ca="1" si="9"/>
        <v>Vencido hace 96 días</v>
      </c>
      <c r="Q138" s="50">
        <f t="shared" si="10"/>
        <v>46157</v>
      </c>
      <c r="R138" s="17" t="str">
        <f>IF(M138=1,COUNTIFS($Q$2:Q138,Q138,$M$2:M138,1),"")</f>
        <v/>
      </c>
      <c r="S138" s="50" t="str">
        <f t="shared" si="11"/>
        <v/>
      </c>
    </row>
    <row r="139" spans="1:19" ht="45" customHeight="1" x14ac:dyDescent="0.35">
      <c r="A139" s="66">
        <v>46157.625</v>
      </c>
      <c r="B139" s="67" t="s">
        <v>105</v>
      </c>
      <c r="C139" s="67" t="s">
        <v>106</v>
      </c>
      <c r="D139" s="67" t="s">
        <v>107</v>
      </c>
      <c r="E139" s="67" t="s">
        <v>90</v>
      </c>
      <c r="F139" s="67" t="s">
        <v>156</v>
      </c>
      <c r="G139" s="67" t="s">
        <v>109</v>
      </c>
      <c r="H139" s="67" t="s">
        <v>87</v>
      </c>
      <c r="I139" s="67" t="s">
        <v>50</v>
      </c>
      <c r="J139" s="67" t="s">
        <v>110</v>
      </c>
      <c r="K139" s="67" t="s">
        <v>111</v>
      </c>
      <c r="L139" s="68" t="s">
        <v>112</v>
      </c>
      <c r="M139" s="68">
        <f>--AND(Configuración!$B$6&lt;&gt;"",OR(E139="Todas",ISNUMBER(SEARCH(Configuración!$B$7,E139))),IF(L139="Monotributo",Configuración!$B$10="Sí",IF(L139="Autónomos",Configuración!$B$11="Sí",IF(L139="Responsable inscripto",Configuración!$B$12="Sí",IF(L139="Empleador",Configuración!$B$13="Sí",IF(L139="Casas particulares",Configuración!$B$14="Sí",IF(L139="Retenciones",Configuración!$B$15="Sí",IF(L139="Sociedad",Configuración!$B$16="Sí",IF(L139="Persona humana",Configuración!$B$17="Sí",IF(L139="Convenio Multilateral",Configuración!$B$18="Sí",FALSE()))))))))))</f>
        <v>0</v>
      </c>
      <c r="N139" s="68" t="str">
        <f>IF(M139=1,COUNTIF($M$2:M139,1),"")</f>
        <v/>
      </c>
      <c r="O139" s="50">
        <f t="shared" ca="1" si="8"/>
        <v>-96</v>
      </c>
      <c r="P139" s="17" t="str">
        <f t="shared" ca="1" si="9"/>
        <v>Vencido hace 96 días</v>
      </c>
      <c r="Q139" s="50">
        <f t="shared" si="10"/>
        <v>46157</v>
      </c>
      <c r="R139" s="17" t="str">
        <f>IF(M139=1,COUNTIFS($Q$2:Q139,Q139,$M$2:M139,1),"")</f>
        <v/>
      </c>
      <c r="S139" s="50" t="str">
        <f t="shared" si="11"/>
        <v/>
      </c>
    </row>
    <row r="140" spans="1:19" ht="45" customHeight="1" x14ac:dyDescent="0.35">
      <c r="A140" s="66">
        <v>46157.625</v>
      </c>
      <c r="B140" s="67" t="s">
        <v>137</v>
      </c>
      <c r="C140" s="67" t="s">
        <v>138</v>
      </c>
      <c r="D140" s="67" t="s">
        <v>139</v>
      </c>
      <c r="E140" s="67" t="s">
        <v>140</v>
      </c>
      <c r="F140" s="67" t="s">
        <v>157</v>
      </c>
      <c r="G140" s="67" t="s">
        <v>94</v>
      </c>
      <c r="H140" s="67" t="s">
        <v>142</v>
      </c>
      <c r="I140" s="67" t="s">
        <v>50</v>
      </c>
      <c r="J140" s="67" t="s">
        <v>150</v>
      </c>
      <c r="K140" s="67" t="s">
        <v>151</v>
      </c>
      <c r="L140" s="68" t="s">
        <v>33</v>
      </c>
      <c r="M140" s="68">
        <f>--AND(Configuración!$B$6&lt;&gt;"",OR(E140="Todas",ISNUMBER(SEARCH(Configuración!$B$7,E140))),IF(L140="Monotributo",Configuración!$B$10="Sí",IF(L140="Autónomos",Configuración!$B$11="Sí",IF(L140="Responsable inscripto",Configuración!$B$12="Sí",IF(L140="Empleador",Configuración!$B$13="Sí",IF(L140="Casas particulares",Configuración!$B$14="Sí",IF(L140="Retenciones",Configuración!$B$15="Sí",IF(L140="Sociedad",Configuración!$B$16="Sí",IF(L140="Persona humana",Configuración!$B$17="Sí",IF(L140="Convenio Multilateral",Configuración!$B$18="Sí",FALSE()))))))))))</f>
        <v>0</v>
      </c>
      <c r="N140" s="68" t="str">
        <f>IF(M140=1,COUNTIF($M$2:M140,1),"")</f>
        <v/>
      </c>
      <c r="O140" s="50">
        <f t="shared" ca="1" si="8"/>
        <v>-96</v>
      </c>
      <c r="P140" s="17" t="str">
        <f t="shared" ca="1" si="9"/>
        <v>Vencido hace 96 días</v>
      </c>
      <c r="Q140" s="50">
        <f t="shared" si="10"/>
        <v>46157</v>
      </c>
      <c r="R140" s="17" t="str">
        <f>IF(M140=1,COUNTIFS($Q$2:Q140,Q140,$M$2:M140,1),"")</f>
        <v/>
      </c>
      <c r="S140" s="50" t="str">
        <f t="shared" si="11"/>
        <v/>
      </c>
    </row>
    <row r="141" spans="1:19" ht="45" customHeight="1" x14ac:dyDescent="0.35">
      <c r="A141" s="66">
        <v>46160</v>
      </c>
      <c r="B141" s="67" t="s">
        <v>115</v>
      </c>
      <c r="C141" s="67" t="s">
        <v>116</v>
      </c>
      <c r="D141" s="67" t="s">
        <v>117</v>
      </c>
      <c r="E141" s="67" t="s">
        <v>84</v>
      </c>
      <c r="F141" s="67" t="s">
        <v>155</v>
      </c>
      <c r="G141" s="67" t="s">
        <v>94</v>
      </c>
      <c r="H141" s="67" t="s">
        <v>87</v>
      </c>
      <c r="I141" s="67" t="s">
        <v>50</v>
      </c>
      <c r="J141" s="67" t="s">
        <v>88</v>
      </c>
      <c r="K141" s="67"/>
      <c r="L141" s="68" t="s">
        <v>118</v>
      </c>
      <c r="M141" s="68">
        <f>--AND(Configuración!$B$6&lt;&gt;"",OR(E141="Todas",ISNUMBER(SEARCH(Configuración!$B$7,E141))),IF(L141="Monotributo",Configuración!$B$10="Sí",IF(L141="Autónomos",Configuración!$B$11="Sí",IF(L141="Responsable inscripto",Configuración!$B$12="Sí",IF(L141="Empleador",Configuración!$B$13="Sí",IF(L141="Casas particulares",Configuración!$B$14="Sí",IF(L141="Retenciones",Configuración!$B$15="Sí",IF(L141="Sociedad",Configuración!$B$16="Sí",IF(L141="Persona humana",Configuración!$B$17="Sí",IF(L141="Convenio Multilateral",Configuración!$B$18="Sí",FALSE()))))))))))</f>
        <v>0</v>
      </c>
      <c r="N141" s="68" t="str">
        <f>IF(M141=1,COUNTIF($M$2:M141,1),"")</f>
        <v/>
      </c>
      <c r="O141" s="50">
        <f t="shared" ca="1" si="8"/>
        <v>-93</v>
      </c>
      <c r="P141" s="17" t="str">
        <f t="shared" ca="1" si="9"/>
        <v>Vencido hace 93 días</v>
      </c>
      <c r="Q141" s="50">
        <f t="shared" si="10"/>
        <v>46160</v>
      </c>
      <c r="R141" s="17" t="str">
        <f>IF(M141=1,COUNTIFS($Q$2:Q141,Q141,$M$2:M141,1),"")</f>
        <v/>
      </c>
      <c r="S141" s="50" t="str">
        <f t="shared" si="11"/>
        <v/>
      </c>
    </row>
    <row r="142" spans="1:19" ht="45" customHeight="1" x14ac:dyDescent="0.35">
      <c r="A142" s="66">
        <v>46160</v>
      </c>
      <c r="B142" s="67" t="s">
        <v>119</v>
      </c>
      <c r="C142" s="67" t="s">
        <v>120</v>
      </c>
      <c r="D142" s="67" t="s">
        <v>121</v>
      </c>
      <c r="E142" s="67" t="s">
        <v>84</v>
      </c>
      <c r="F142" s="67" t="s">
        <v>155</v>
      </c>
      <c r="G142" s="67" t="s">
        <v>94</v>
      </c>
      <c r="H142" s="67" t="s">
        <v>87</v>
      </c>
      <c r="I142" s="67" t="s">
        <v>50</v>
      </c>
      <c r="J142" s="67" t="s">
        <v>88</v>
      </c>
      <c r="K142" s="67"/>
      <c r="L142" s="68" t="s">
        <v>118</v>
      </c>
      <c r="M142" s="68">
        <f>--AND(Configuración!$B$6&lt;&gt;"",OR(E142="Todas",ISNUMBER(SEARCH(Configuración!$B$7,E142))),IF(L142="Monotributo",Configuración!$B$10="Sí",IF(L142="Autónomos",Configuración!$B$11="Sí",IF(L142="Responsable inscripto",Configuración!$B$12="Sí",IF(L142="Empleador",Configuración!$B$13="Sí",IF(L142="Casas particulares",Configuración!$B$14="Sí",IF(L142="Retenciones",Configuración!$B$15="Sí",IF(L142="Sociedad",Configuración!$B$16="Sí",IF(L142="Persona humana",Configuración!$B$17="Sí",IF(L142="Convenio Multilateral",Configuración!$B$18="Sí",FALSE()))))))))))</f>
        <v>0</v>
      </c>
      <c r="N142" s="68" t="str">
        <f>IF(M142=1,COUNTIF($M$2:M142,1),"")</f>
        <v/>
      </c>
      <c r="O142" s="50">
        <f t="shared" ca="1" si="8"/>
        <v>-93</v>
      </c>
      <c r="P142" s="17" t="str">
        <f t="shared" ca="1" si="9"/>
        <v>Vencido hace 93 días</v>
      </c>
      <c r="Q142" s="50">
        <f t="shared" si="10"/>
        <v>46160</v>
      </c>
      <c r="R142" s="17" t="str">
        <f>IF(M142=1,COUNTIFS($Q$2:Q142,Q142,$M$2:M142,1),"")</f>
        <v/>
      </c>
      <c r="S142" s="50" t="str">
        <f t="shared" si="11"/>
        <v/>
      </c>
    </row>
    <row r="143" spans="1:19" ht="45" customHeight="1" x14ac:dyDescent="0.35">
      <c r="A143" s="66">
        <v>46160</v>
      </c>
      <c r="B143" s="67" t="s">
        <v>122</v>
      </c>
      <c r="C143" s="67" t="s">
        <v>123</v>
      </c>
      <c r="D143" s="67" t="s">
        <v>124</v>
      </c>
      <c r="E143" s="67" t="s">
        <v>84</v>
      </c>
      <c r="F143" s="67" t="s">
        <v>155</v>
      </c>
      <c r="G143" s="67" t="s">
        <v>109</v>
      </c>
      <c r="H143" s="67" t="s">
        <v>87</v>
      </c>
      <c r="I143" s="67" t="s">
        <v>50</v>
      </c>
      <c r="J143" s="67" t="s">
        <v>88</v>
      </c>
      <c r="K143" s="67" t="s">
        <v>125</v>
      </c>
      <c r="L143" s="68" t="s">
        <v>118</v>
      </c>
      <c r="M143" s="68">
        <f>--AND(Configuración!$B$6&lt;&gt;"",OR(E143="Todas",ISNUMBER(SEARCH(Configuración!$B$7,E143))),IF(L143="Monotributo",Configuración!$B$10="Sí",IF(L143="Autónomos",Configuración!$B$11="Sí",IF(L143="Responsable inscripto",Configuración!$B$12="Sí",IF(L143="Empleador",Configuración!$B$13="Sí",IF(L143="Casas particulares",Configuración!$B$14="Sí",IF(L143="Retenciones",Configuración!$B$15="Sí",IF(L143="Sociedad",Configuración!$B$16="Sí",IF(L143="Persona humana",Configuración!$B$17="Sí",IF(L143="Convenio Multilateral",Configuración!$B$18="Sí",FALSE()))))))))))</f>
        <v>0</v>
      </c>
      <c r="N143" s="68" t="str">
        <f>IF(M143=1,COUNTIF($M$2:M143,1),"")</f>
        <v/>
      </c>
      <c r="O143" s="50">
        <f t="shared" ca="1" si="8"/>
        <v>-93</v>
      </c>
      <c r="P143" s="17" t="str">
        <f t="shared" ca="1" si="9"/>
        <v>Vencido hace 93 días</v>
      </c>
      <c r="Q143" s="50">
        <f t="shared" si="10"/>
        <v>46160</v>
      </c>
      <c r="R143" s="17" t="str">
        <f>IF(M143=1,COUNTIFS($Q$2:Q143,Q143,$M$2:M143,1),"")</f>
        <v/>
      </c>
      <c r="S143" s="50" t="str">
        <f t="shared" si="11"/>
        <v/>
      </c>
    </row>
    <row r="144" spans="1:19" ht="45" customHeight="1" x14ac:dyDescent="0.35">
      <c r="A144" s="66">
        <v>46160.625</v>
      </c>
      <c r="B144" s="67" t="s">
        <v>137</v>
      </c>
      <c r="C144" s="67" t="s">
        <v>138</v>
      </c>
      <c r="D144" s="67" t="s">
        <v>139</v>
      </c>
      <c r="E144" s="67" t="s">
        <v>145</v>
      </c>
      <c r="F144" s="67" t="s">
        <v>157</v>
      </c>
      <c r="G144" s="67" t="s">
        <v>94</v>
      </c>
      <c r="H144" s="67" t="s">
        <v>142</v>
      </c>
      <c r="I144" s="67" t="s">
        <v>50</v>
      </c>
      <c r="J144" s="67" t="s">
        <v>150</v>
      </c>
      <c r="K144" s="67" t="s">
        <v>151</v>
      </c>
      <c r="L144" s="68" t="s">
        <v>33</v>
      </c>
      <c r="M144" s="68">
        <f>--AND(Configuración!$B$6&lt;&gt;"",OR(E144="Todas",ISNUMBER(SEARCH(Configuración!$B$7,E144))),IF(L144="Monotributo",Configuración!$B$10="Sí",IF(L144="Autónomos",Configuración!$B$11="Sí",IF(L144="Responsable inscripto",Configuración!$B$12="Sí",IF(L144="Empleador",Configuración!$B$13="Sí",IF(L144="Casas particulares",Configuración!$B$14="Sí",IF(L144="Retenciones",Configuración!$B$15="Sí",IF(L144="Sociedad",Configuración!$B$16="Sí",IF(L144="Persona humana",Configuración!$B$17="Sí",IF(L144="Convenio Multilateral",Configuración!$B$18="Sí",FALSE()))))))))))</f>
        <v>0</v>
      </c>
      <c r="N144" s="68" t="str">
        <f>IF(M144=1,COUNTIF($M$2:M144,1),"")</f>
        <v/>
      </c>
      <c r="O144" s="50">
        <f t="shared" ca="1" si="8"/>
        <v>-93</v>
      </c>
      <c r="P144" s="17" t="str">
        <f t="shared" ca="1" si="9"/>
        <v>Vencido hace 93 días</v>
      </c>
      <c r="Q144" s="50">
        <f t="shared" si="10"/>
        <v>46160</v>
      </c>
      <c r="R144" s="17" t="str">
        <f>IF(M144=1,COUNTIFS($Q$2:Q144,Q144,$M$2:M144,1),"")</f>
        <v/>
      </c>
      <c r="S144" s="50" t="str">
        <f t="shared" si="11"/>
        <v/>
      </c>
    </row>
    <row r="145" spans="1:19" ht="45" customHeight="1" x14ac:dyDescent="0.35">
      <c r="A145" s="66">
        <v>46161</v>
      </c>
      <c r="B145" s="67" t="s">
        <v>115</v>
      </c>
      <c r="C145" s="67" t="s">
        <v>116</v>
      </c>
      <c r="D145" s="67" t="s">
        <v>117</v>
      </c>
      <c r="E145" s="67" t="s">
        <v>89</v>
      </c>
      <c r="F145" s="67" t="s">
        <v>155</v>
      </c>
      <c r="G145" s="67" t="s">
        <v>94</v>
      </c>
      <c r="H145" s="67" t="s">
        <v>87</v>
      </c>
      <c r="I145" s="67" t="s">
        <v>50</v>
      </c>
      <c r="J145" s="67" t="s">
        <v>88</v>
      </c>
      <c r="K145" s="67"/>
      <c r="L145" s="68" t="s">
        <v>118</v>
      </c>
      <c r="M145" s="68">
        <f>--AND(Configuración!$B$6&lt;&gt;"",OR(E145="Todas",ISNUMBER(SEARCH(Configuración!$B$7,E145))),IF(L145="Monotributo",Configuración!$B$10="Sí",IF(L145="Autónomos",Configuración!$B$11="Sí",IF(L145="Responsable inscripto",Configuración!$B$12="Sí",IF(L145="Empleador",Configuración!$B$13="Sí",IF(L145="Casas particulares",Configuración!$B$14="Sí",IF(L145="Retenciones",Configuración!$B$15="Sí",IF(L145="Sociedad",Configuración!$B$16="Sí",IF(L145="Persona humana",Configuración!$B$17="Sí",IF(L145="Convenio Multilateral",Configuración!$B$18="Sí",FALSE()))))))))))</f>
        <v>0</v>
      </c>
      <c r="N145" s="68" t="str">
        <f>IF(M145=1,COUNTIF($M$2:M145,1),"")</f>
        <v/>
      </c>
      <c r="O145" s="50">
        <f t="shared" ca="1" si="8"/>
        <v>-92</v>
      </c>
      <c r="P145" s="17" t="str">
        <f t="shared" ca="1" si="9"/>
        <v>Vencido hace 92 días</v>
      </c>
      <c r="Q145" s="50">
        <f t="shared" si="10"/>
        <v>46161</v>
      </c>
      <c r="R145" s="17" t="str">
        <f>IF(M145=1,COUNTIFS($Q$2:Q145,Q145,$M$2:M145,1),"")</f>
        <v/>
      </c>
      <c r="S145" s="50" t="str">
        <f t="shared" si="11"/>
        <v/>
      </c>
    </row>
    <row r="146" spans="1:19" ht="45" customHeight="1" x14ac:dyDescent="0.35">
      <c r="A146" s="66">
        <v>46161</v>
      </c>
      <c r="B146" s="67" t="s">
        <v>119</v>
      </c>
      <c r="C146" s="67" t="s">
        <v>120</v>
      </c>
      <c r="D146" s="67" t="s">
        <v>121</v>
      </c>
      <c r="E146" s="67" t="s">
        <v>89</v>
      </c>
      <c r="F146" s="67" t="s">
        <v>155</v>
      </c>
      <c r="G146" s="67" t="s">
        <v>94</v>
      </c>
      <c r="H146" s="67" t="s">
        <v>87</v>
      </c>
      <c r="I146" s="67" t="s">
        <v>50</v>
      </c>
      <c r="J146" s="67" t="s">
        <v>88</v>
      </c>
      <c r="K146" s="67"/>
      <c r="L146" s="68" t="s">
        <v>118</v>
      </c>
      <c r="M146" s="68">
        <f>--AND(Configuración!$B$6&lt;&gt;"",OR(E146="Todas",ISNUMBER(SEARCH(Configuración!$B$7,E146))),IF(L146="Monotributo",Configuración!$B$10="Sí",IF(L146="Autónomos",Configuración!$B$11="Sí",IF(L146="Responsable inscripto",Configuración!$B$12="Sí",IF(L146="Empleador",Configuración!$B$13="Sí",IF(L146="Casas particulares",Configuración!$B$14="Sí",IF(L146="Retenciones",Configuración!$B$15="Sí",IF(L146="Sociedad",Configuración!$B$16="Sí",IF(L146="Persona humana",Configuración!$B$17="Sí",IF(L146="Convenio Multilateral",Configuración!$B$18="Sí",FALSE()))))))))))</f>
        <v>0</v>
      </c>
      <c r="N146" s="68" t="str">
        <f>IF(M146=1,COUNTIF($M$2:M146,1),"")</f>
        <v/>
      </c>
      <c r="O146" s="50">
        <f t="shared" ca="1" si="8"/>
        <v>-92</v>
      </c>
      <c r="P146" s="17" t="str">
        <f t="shared" ca="1" si="9"/>
        <v>Vencido hace 92 días</v>
      </c>
      <c r="Q146" s="50">
        <f t="shared" si="10"/>
        <v>46161</v>
      </c>
      <c r="R146" s="17" t="str">
        <f>IF(M146=1,COUNTIFS($Q$2:Q146,Q146,$M$2:M146,1),"")</f>
        <v/>
      </c>
      <c r="S146" s="50" t="str">
        <f t="shared" si="11"/>
        <v/>
      </c>
    </row>
    <row r="147" spans="1:19" ht="45" customHeight="1" x14ac:dyDescent="0.35">
      <c r="A147" s="66">
        <v>46161</v>
      </c>
      <c r="B147" s="67" t="s">
        <v>122</v>
      </c>
      <c r="C147" s="67" t="s">
        <v>123</v>
      </c>
      <c r="D147" s="67" t="s">
        <v>124</v>
      </c>
      <c r="E147" s="67" t="s">
        <v>89</v>
      </c>
      <c r="F147" s="67" t="s">
        <v>155</v>
      </c>
      <c r="G147" s="67" t="s">
        <v>109</v>
      </c>
      <c r="H147" s="67" t="s">
        <v>87</v>
      </c>
      <c r="I147" s="67" t="s">
        <v>50</v>
      </c>
      <c r="J147" s="67" t="s">
        <v>88</v>
      </c>
      <c r="K147" s="67" t="s">
        <v>125</v>
      </c>
      <c r="L147" s="68" t="s">
        <v>118</v>
      </c>
      <c r="M147" s="68">
        <f>--AND(Configuración!$B$6&lt;&gt;"",OR(E147="Todas",ISNUMBER(SEARCH(Configuración!$B$7,E147))),IF(L147="Monotributo",Configuración!$B$10="Sí",IF(L147="Autónomos",Configuración!$B$11="Sí",IF(L147="Responsable inscripto",Configuración!$B$12="Sí",IF(L147="Empleador",Configuración!$B$13="Sí",IF(L147="Casas particulares",Configuración!$B$14="Sí",IF(L147="Retenciones",Configuración!$B$15="Sí",IF(L147="Sociedad",Configuración!$B$16="Sí",IF(L147="Persona humana",Configuración!$B$17="Sí",IF(L147="Convenio Multilateral",Configuración!$B$18="Sí",FALSE()))))))))))</f>
        <v>0</v>
      </c>
      <c r="N147" s="68" t="str">
        <f>IF(M147=1,COUNTIF($M$2:M147,1),"")</f>
        <v/>
      </c>
      <c r="O147" s="50">
        <f t="shared" ca="1" si="8"/>
        <v>-92</v>
      </c>
      <c r="P147" s="17" t="str">
        <f t="shared" ca="1" si="9"/>
        <v>Vencido hace 92 días</v>
      </c>
      <c r="Q147" s="50">
        <f t="shared" si="10"/>
        <v>46161</v>
      </c>
      <c r="R147" s="17" t="str">
        <f>IF(M147=1,COUNTIFS($Q$2:Q147,Q147,$M$2:M147,1),"")</f>
        <v/>
      </c>
      <c r="S147" s="50" t="str">
        <f t="shared" si="11"/>
        <v/>
      </c>
    </row>
    <row r="148" spans="1:19" ht="45" customHeight="1" x14ac:dyDescent="0.35">
      <c r="A148" s="66">
        <v>46161.625</v>
      </c>
      <c r="B148" s="67" t="s">
        <v>137</v>
      </c>
      <c r="C148" s="67" t="s">
        <v>138</v>
      </c>
      <c r="D148" s="67" t="s">
        <v>139</v>
      </c>
      <c r="E148" s="67" t="s">
        <v>146</v>
      </c>
      <c r="F148" s="67" t="s">
        <v>157</v>
      </c>
      <c r="G148" s="67" t="s">
        <v>94</v>
      </c>
      <c r="H148" s="67" t="s">
        <v>142</v>
      </c>
      <c r="I148" s="67" t="s">
        <v>50</v>
      </c>
      <c r="J148" s="67" t="s">
        <v>150</v>
      </c>
      <c r="K148" s="67" t="s">
        <v>151</v>
      </c>
      <c r="L148" s="68" t="s">
        <v>33</v>
      </c>
      <c r="M148" s="68">
        <f>--AND(Configuración!$B$6&lt;&gt;"",OR(E148="Todas",ISNUMBER(SEARCH(Configuración!$B$7,E148))),IF(L148="Monotributo",Configuración!$B$10="Sí",IF(L148="Autónomos",Configuración!$B$11="Sí",IF(L148="Responsable inscripto",Configuración!$B$12="Sí",IF(L148="Empleador",Configuración!$B$13="Sí",IF(L148="Casas particulares",Configuración!$B$14="Sí",IF(L148="Retenciones",Configuración!$B$15="Sí",IF(L148="Sociedad",Configuración!$B$16="Sí",IF(L148="Persona humana",Configuración!$B$17="Sí",IF(L148="Convenio Multilateral",Configuración!$B$18="Sí",FALSE()))))))))))</f>
        <v>0</v>
      </c>
      <c r="N148" s="68" t="str">
        <f>IF(M148=1,COUNTIF($M$2:M148,1),"")</f>
        <v/>
      </c>
      <c r="O148" s="50">
        <f t="shared" ca="1" si="8"/>
        <v>-92</v>
      </c>
      <c r="P148" s="17" t="str">
        <f t="shared" ca="1" si="9"/>
        <v>Vencido hace 92 días</v>
      </c>
      <c r="Q148" s="50">
        <f t="shared" si="10"/>
        <v>46161</v>
      </c>
      <c r="R148" s="17" t="str">
        <f>IF(M148=1,COUNTIFS($Q$2:Q148,Q148,$M$2:M148,1),"")</f>
        <v/>
      </c>
      <c r="S148" s="50" t="str">
        <f t="shared" si="11"/>
        <v/>
      </c>
    </row>
    <row r="149" spans="1:19" ht="45" customHeight="1" x14ac:dyDescent="0.35">
      <c r="A149" s="66">
        <v>46162</v>
      </c>
      <c r="B149" s="67" t="s">
        <v>115</v>
      </c>
      <c r="C149" s="67" t="s">
        <v>116</v>
      </c>
      <c r="D149" s="67" t="s">
        <v>117</v>
      </c>
      <c r="E149" s="67" t="s">
        <v>90</v>
      </c>
      <c r="F149" s="67" t="s">
        <v>155</v>
      </c>
      <c r="G149" s="67" t="s">
        <v>94</v>
      </c>
      <c r="H149" s="67" t="s">
        <v>87</v>
      </c>
      <c r="I149" s="67" t="s">
        <v>50</v>
      </c>
      <c r="J149" s="67" t="s">
        <v>88</v>
      </c>
      <c r="K149" s="67"/>
      <c r="L149" s="68" t="s">
        <v>118</v>
      </c>
      <c r="M149" s="68">
        <f>--AND(Configuración!$B$6&lt;&gt;"",OR(E149="Todas",ISNUMBER(SEARCH(Configuración!$B$7,E149))),IF(L149="Monotributo",Configuración!$B$10="Sí",IF(L149="Autónomos",Configuración!$B$11="Sí",IF(L149="Responsable inscripto",Configuración!$B$12="Sí",IF(L149="Empleador",Configuración!$B$13="Sí",IF(L149="Casas particulares",Configuración!$B$14="Sí",IF(L149="Retenciones",Configuración!$B$15="Sí",IF(L149="Sociedad",Configuración!$B$16="Sí",IF(L149="Persona humana",Configuración!$B$17="Sí",IF(L149="Convenio Multilateral",Configuración!$B$18="Sí",FALSE()))))))))))</f>
        <v>0</v>
      </c>
      <c r="N149" s="68" t="str">
        <f>IF(M149=1,COUNTIF($M$2:M149,1),"")</f>
        <v/>
      </c>
      <c r="O149" s="50">
        <f t="shared" ca="1" si="8"/>
        <v>-91</v>
      </c>
      <c r="P149" s="17" t="str">
        <f t="shared" ca="1" si="9"/>
        <v>Vencido hace 91 días</v>
      </c>
      <c r="Q149" s="50">
        <f t="shared" si="10"/>
        <v>46162</v>
      </c>
      <c r="R149" s="17" t="str">
        <f>IF(M149=1,COUNTIFS($Q$2:Q149,Q149,$M$2:M149,1),"")</f>
        <v/>
      </c>
      <c r="S149" s="50" t="str">
        <f t="shared" si="11"/>
        <v/>
      </c>
    </row>
    <row r="150" spans="1:19" ht="45" customHeight="1" x14ac:dyDescent="0.35">
      <c r="A150" s="66">
        <v>46162</v>
      </c>
      <c r="B150" s="67" t="s">
        <v>119</v>
      </c>
      <c r="C150" s="67" t="s">
        <v>120</v>
      </c>
      <c r="D150" s="67" t="s">
        <v>121</v>
      </c>
      <c r="E150" s="67" t="s">
        <v>90</v>
      </c>
      <c r="F150" s="67" t="s">
        <v>155</v>
      </c>
      <c r="G150" s="67" t="s">
        <v>94</v>
      </c>
      <c r="H150" s="67" t="s">
        <v>87</v>
      </c>
      <c r="I150" s="67" t="s">
        <v>50</v>
      </c>
      <c r="J150" s="67" t="s">
        <v>88</v>
      </c>
      <c r="K150" s="67"/>
      <c r="L150" s="68" t="s">
        <v>118</v>
      </c>
      <c r="M150" s="68">
        <f>--AND(Configuración!$B$6&lt;&gt;"",OR(E150="Todas",ISNUMBER(SEARCH(Configuración!$B$7,E150))),IF(L150="Monotributo",Configuración!$B$10="Sí",IF(L150="Autónomos",Configuración!$B$11="Sí",IF(L150="Responsable inscripto",Configuración!$B$12="Sí",IF(L150="Empleador",Configuración!$B$13="Sí",IF(L150="Casas particulares",Configuración!$B$14="Sí",IF(L150="Retenciones",Configuración!$B$15="Sí",IF(L150="Sociedad",Configuración!$B$16="Sí",IF(L150="Persona humana",Configuración!$B$17="Sí",IF(L150="Convenio Multilateral",Configuración!$B$18="Sí",FALSE()))))))))))</f>
        <v>0</v>
      </c>
      <c r="N150" s="68" t="str">
        <f>IF(M150=1,COUNTIF($M$2:M150,1),"")</f>
        <v/>
      </c>
      <c r="O150" s="50">
        <f t="shared" ca="1" si="8"/>
        <v>-91</v>
      </c>
      <c r="P150" s="17" t="str">
        <f t="shared" ca="1" si="9"/>
        <v>Vencido hace 91 días</v>
      </c>
      <c r="Q150" s="50">
        <f t="shared" si="10"/>
        <v>46162</v>
      </c>
      <c r="R150" s="17" t="str">
        <f>IF(M150=1,COUNTIFS($Q$2:Q150,Q150,$M$2:M150,1),"")</f>
        <v/>
      </c>
      <c r="S150" s="50" t="str">
        <f t="shared" si="11"/>
        <v/>
      </c>
    </row>
    <row r="151" spans="1:19" ht="45" customHeight="1" x14ac:dyDescent="0.35">
      <c r="A151" s="66">
        <v>46162</v>
      </c>
      <c r="B151" s="67" t="s">
        <v>122</v>
      </c>
      <c r="C151" s="67" t="s">
        <v>123</v>
      </c>
      <c r="D151" s="67" t="s">
        <v>124</v>
      </c>
      <c r="E151" s="67" t="s">
        <v>90</v>
      </c>
      <c r="F151" s="67" t="s">
        <v>155</v>
      </c>
      <c r="G151" s="67" t="s">
        <v>109</v>
      </c>
      <c r="H151" s="67" t="s">
        <v>87</v>
      </c>
      <c r="I151" s="67" t="s">
        <v>50</v>
      </c>
      <c r="J151" s="67" t="s">
        <v>88</v>
      </c>
      <c r="K151" s="67" t="s">
        <v>125</v>
      </c>
      <c r="L151" s="68" t="s">
        <v>118</v>
      </c>
      <c r="M151" s="68">
        <f>--AND(Configuración!$B$6&lt;&gt;"",OR(E151="Todas",ISNUMBER(SEARCH(Configuración!$B$7,E151))),IF(L151="Monotributo",Configuración!$B$10="Sí",IF(L151="Autónomos",Configuración!$B$11="Sí",IF(L151="Responsable inscripto",Configuración!$B$12="Sí",IF(L151="Empleador",Configuración!$B$13="Sí",IF(L151="Casas particulares",Configuración!$B$14="Sí",IF(L151="Retenciones",Configuración!$B$15="Sí",IF(L151="Sociedad",Configuración!$B$16="Sí",IF(L151="Persona humana",Configuración!$B$17="Sí",IF(L151="Convenio Multilateral",Configuración!$B$18="Sí",FALSE()))))))))))</f>
        <v>0</v>
      </c>
      <c r="N151" s="68" t="str">
        <f>IF(M151=1,COUNTIF($M$2:M151,1),"")</f>
        <v/>
      </c>
      <c r="O151" s="50">
        <f t="shared" ca="1" si="8"/>
        <v>-91</v>
      </c>
      <c r="P151" s="17" t="str">
        <f t="shared" ca="1" si="9"/>
        <v>Vencido hace 91 días</v>
      </c>
      <c r="Q151" s="50">
        <f t="shared" si="10"/>
        <v>46162</v>
      </c>
      <c r="R151" s="17" t="str">
        <f>IF(M151=1,COUNTIFS($Q$2:Q151,Q151,$M$2:M151,1),"")</f>
        <v/>
      </c>
      <c r="S151" s="50" t="str">
        <f t="shared" si="11"/>
        <v/>
      </c>
    </row>
    <row r="152" spans="1:19" ht="30" customHeight="1" x14ac:dyDescent="0.35">
      <c r="A152" s="66">
        <v>46162</v>
      </c>
      <c r="B152" s="67" t="s">
        <v>24</v>
      </c>
      <c r="C152" s="67" t="s">
        <v>126</v>
      </c>
      <c r="D152" s="67" t="s">
        <v>127</v>
      </c>
      <c r="E152" s="67" t="s">
        <v>104</v>
      </c>
      <c r="F152" s="67" t="s">
        <v>158</v>
      </c>
      <c r="G152" s="67" t="s">
        <v>86</v>
      </c>
      <c r="H152" s="67" t="s">
        <v>87</v>
      </c>
      <c r="I152" s="67" t="s">
        <v>50</v>
      </c>
      <c r="J152" s="67" t="s">
        <v>129</v>
      </c>
      <c r="K152" s="67" t="s">
        <v>130</v>
      </c>
      <c r="L152" s="68" t="s">
        <v>24</v>
      </c>
      <c r="M152" s="68">
        <f>--AND(Configuración!$B$6&lt;&gt;"",OR(E152="Todas",ISNUMBER(SEARCH(Configuración!$B$7,E152))),IF(L152="Monotributo",Configuración!$B$10="Sí",IF(L152="Autónomos",Configuración!$B$11="Sí",IF(L152="Responsable inscripto",Configuración!$B$12="Sí",IF(L152="Empleador",Configuración!$B$13="Sí",IF(L152="Casas particulares",Configuración!$B$14="Sí",IF(L152="Retenciones",Configuración!$B$15="Sí",IF(L152="Sociedad",Configuración!$B$16="Sí",IF(L152="Persona humana",Configuración!$B$17="Sí",IF(L152="Convenio Multilateral",Configuración!$B$18="Sí",FALSE()))))))))))</f>
        <v>0</v>
      </c>
      <c r="N152" s="68" t="str">
        <f>IF(M152=1,COUNTIF($M$2:M152,1),"")</f>
        <v/>
      </c>
      <c r="O152" s="50">
        <f t="shared" ca="1" si="8"/>
        <v>-91</v>
      </c>
      <c r="P152" s="17" t="str">
        <f t="shared" ca="1" si="9"/>
        <v>Vencido hace 91 días</v>
      </c>
      <c r="Q152" s="50">
        <f t="shared" si="10"/>
        <v>46162</v>
      </c>
      <c r="R152" s="17" t="str">
        <f>IF(M152=1,COUNTIFS($Q$2:Q152,Q152,$M$2:M152,1),"")</f>
        <v/>
      </c>
      <c r="S152" s="50" t="str">
        <f t="shared" si="11"/>
        <v/>
      </c>
    </row>
    <row r="153" spans="1:19" ht="45" customHeight="1" x14ac:dyDescent="0.35">
      <c r="A153" s="66">
        <v>46162.625</v>
      </c>
      <c r="B153" s="67" t="s">
        <v>137</v>
      </c>
      <c r="C153" s="67" t="s">
        <v>138</v>
      </c>
      <c r="D153" s="67" t="s">
        <v>139</v>
      </c>
      <c r="E153" s="67" t="s">
        <v>147</v>
      </c>
      <c r="F153" s="67" t="s">
        <v>157</v>
      </c>
      <c r="G153" s="67" t="s">
        <v>94</v>
      </c>
      <c r="H153" s="67" t="s">
        <v>142</v>
      </c>
      <c r="I153" s="67" t="s">
        <v>50</v>
      </c>
      <c r="J153" s="67" t="s">
        <v>150</v>
      </c>
      <c r="K153" s="67" t="s">
        <v>151</v>
      </c>
      <c r="L153" s="68" t="s">
        <v>33</v>
      </c>
      <c r="M153" s="68">
        <f>--AND(Configuración!$B$6&lt;&gt;"",OR(E153="Todas",ISNUMBER(SEARCH(Configuración!$B$7,E153))),IF(L153="Monotributo",Configuración!$B$10="Sí",IF(L153="Autónomos",Configuración!$B$11="Sí",IF(L153="Responsable inscripto",Configuración!$B$12="Sí",IF(L153="Empleador",Configuración!$B$13="Sí",IF(L153="Casas particulares",Configuración!$B$14="Sí",IF(L153="Retenciones",Configuración!$B$15="Sí",IF(L153="Sociedad",Configuración!$B$16="Sí",IF(L153="Persona humana",Configuración!$B$17="Sí",IF(L153="Convenio Multilateral",Configuración!$B$18="Sí",FALSE()))))))))))</f>
        <v>0</v>
      </c>
      <c r="N153" s="68" t="str">
        <f>IF(M153=1,COUNTIF($M$2:M153,1),"")</f>
        <v/>
      </c>
      <c r="O153" s="50">
        <f t="shared" ca="1" si="8"/>
        <v>-91</v>
      </c>
      <c r="P153" s="17" t="str">
        <f t="shared" ca="1" si="9"/>
        <v>Vencido hace 91 días</v>
      </c>
      <c r="Q153" s="50">
        <f t="shared" si="10"/>
        <v>46162</v>
      </c>
      <c r="R153" s="17" t="str">
        <f>IF(M153=1,COUNTIFS($Q$2:Q153,Q153,$M$2:M153,1),"")</f>
        <v/>
      </c>
      <c r="S153" s="50" t="str">
        <f t="shared" si="11"/>
        <v/>
      </c>
    </row>
    <row r="154" spans="1:19" ht="45" customHeight="1" x14ac:dyDescent="0.35">
      <c r="A154" s="66">
        <v>46176</v>
      </c>
      <c r="B154" s="67" t="s">
        <v>26</v>
      </c>
      <c r="C154" s="67" t="s">
        <v>82</v>
      </c>
      <c r="D154" s="67" t="s">
        <v>83</v>
      </c>
      <c r="E154" s="67" t="s">
        <v>84</v>
      </c>
      <c r="F154" s="67" t="s">
        <v>158</v>
      </c>
      <c r="G154" s="67" t="s">
        <v>86</v>
      </c>
      <c r="H154" s="67" t="s">
        <v>87</v>
      </c>
      <c r="I154" s="67" t="s">
        <v>50</v>
      </c>
      <c r="J154" s="67" t="s">
        <v>88</v>
      </c>
      <c r="K154" s="67"/>
      <c r="L154" s="68" t="s">
        <v>26</v>
      </c>
      <c r="M154" s="68">
        <f>--AND(Configuración!$B$6&lt;&gt;"",OR(E154="Todas",ISNUMBER(SEARCH(Configuración!$B$7,E154))),IF(L154="Monotributo",Configuración!$B$10="Sí",IF(L154="Autónomos",Configuración!$B$11="Sí",IF(L154="Responsable inscripto",Configuración!$B$12="Sí",IF(L154="Empleador",Configuración!$B$13="Sí",IF(L154="Casas particulares",Configuración!$B$14="Sí",IF(L154="Retenciones",Configuración!$B$15="Sí",IF(L154="Sociedad",Configuración!$B$16="Sí",IF(L154="Persona humana",Configuración!$B$17="Sí",IF(L154="Convenio Multilateral",Configuración!$B$18="Sí",FALSE()))))))))))</f>
        <v>0</v>
      </c>
      <c r="N154" s="68" t="str">
        <f>IF(M154=1,COUNTIF($M$2:M154,1),"")</f>
        <v/>
      </c>
      <c r="O154" s="50">
        <f t="shared" ca="1" si="8"/>
        <v>-77</v>
      </c>
      <c r="P154" s="17" t="str">
        <f t="shared" ca="1" si="9"/>
        <v>Vencido hace 77 días</v>
      </c>
      <c r="Q154" s="50">
        <f t="shared" si="10"/>
        <v>46176</v>
      </c>
      <c r="R154" s="17" t="str">
        <f>IF(M154=1,COUNTIFS($Q$2:Q154,Q154,$M$2:M154,1),"")</f>
        <v/>
      </c>
      <c r="S154" s="50" t="str">
        <f t="shared" si="11"/>
        <v/>
      </c>
    </row>
    <row r="155" spans="1:19" ht="45" customHeight="1" x14ac:dyDescent="0.35">
      <c r="A155" s="66">
        <v>46177</v>
      </c>
      <c r="B155" s="67" t="s">
        <v>26</v>
      </c>
      <c r="C155" s="67" t="s">
        <v>82</v>
      </c>
      <c r="D155" s="67" t="s">
        <v>83</v>
      </c>
      <c r="E155" s="67" t="s">
        <v>89</v>
      </c>
      <c r="F155" s="67" t="s">
        <v>158</v>
      </c>
      <c r="G155" s="67" t="s">
        <v>86</v>
      </c>
      <c r="H155" s="67" t="s">
        <v>87</v>
      </c>
      <c r="I155" s="67" t="s">
        <v>50</v>
      </c>
      <c r="J155" s="67" t="s">
        <v>88</v>
      </c>
      <c r="K155" s="67"/>
      <c r="L155" s="68" t="s">
        <v>26</v>
      </c>
      <c r="M155" s="68">
        <f>--AND(Configuración!$B$6&lt;&gt;"",OR(E155="Todas",ISNUMBER(SEARCH(Configuración!$B$7,E155))),IF(L155="Monotributo",Configuración!$B$10="Sí",IF(L155="Autónomos",Configuración!$B$11="Sí",IF(L155="Responsable inscripto",Configuración!$B$12="Sí",IF(L155="Empleador",Configuración!$B$13="Sí",IF(L155="Casas particulares",Configuración!$B$14="Sí",IF(L155="Retenciones",Configuración!$B$15="Sí",IF(L155="Sociedad",Configuración!$B$16="Sí",IF(L155="Persona humana",Configuración!$B$17="Sí",IF(L155="Convenio Multilateral",Configuración!$B$18="Sí",FALSE()))))))))))</f>
        <v>0</v>
      </c>
      <c r="N155" s="68" t="str">
        <f>IF(M155=1,COUNTIF($M$2:M155,1),"")</f>
        <v/>
      </c>
      <c r="O155" s="50">
        <f t="shared" ca="1" si="8"/>
        <v>-76</v>
      </c>
      <c r="P155" s="17" t="str">
        <f t="shared" ca="1" si="9"/>
        <v>Vencido hace 76 días</v>
      </c>
      <c r="Q155" s="50">
        <f t="shared" si="10"/>
        <v>46177</v>
      </c>
      <c r="R155" s="17" t="str">
        <f>IF(M155=1,COUNTIFS($Q$2:Q155,Q155,$M$2:M155,1),"")</f>
        <v/>
      </c>
      <c r="S155" s="50" t="str">
        <f t="shared" si="11"/>
        <v/>
      </c>
    </row>
    <row r="156" spans="1:19" ht="45" customHeight="1" x14ac:dyDescent="0.35">
      <c r="A156" s="66">
        <v>46177</v>
      </c>
      <c r="B156" s="67" t="s">
        <v>91</v>
      </c>
      <c r="C156" s="67" t="s">
        <v>92</v>
      </c>
      <c r="D156" s="67" t="s">
        <v>93</v>
      </c>
      <c r="E156" s="67" t="s">
        <v>84</v>
      </c>
      <c r="F156" s="67" t="s">
        <v>158</v>
      </c>
      <c r="G156" s="67" t="s">
        <v>94</v>
      </c>
      <c r="H156" s="67" t="s">
        <v>87</v>
      </c>
      <c r="I156" s="67" t="s">
        <v>50</v>
      </c>
      <c r="J156" s="67" t="s">
        <v>88</v>
      </c>
      <c r="K156" s="67"/>
      <c r="L156" s="68" t="s">
        <v>95</v>
      </c>
      <c r="M156" s="68">
        <f>--AND(Configuración!$B$6&lt;&gt;"",OR(E156="Todas",ISNUMBER(SEARCH(Configuración!$B$7,E156))),IF(L156="Monotributo",Configuración!$B$10="Sí",IF(L156="Autónomos",Configuración!$B$11="Sí",IF(L156="Responsable inscripto",Configuración!$B$12="Sí",IF(L156="Empleador",Configuración!$B$13="Sí",IF(L156="Casas particulares",Configuración!$B$14="Sí",IF(L156="Retenciones",Configuración!$B$15="Sí",IF(L156="Sociedad",Configuración!$B$16="Sí",IF(L156="Persona humana",Configuración!$B$17="Sí",IF(L156="Convenio Multilateral",Configuración!$B$18="Sí",FALSE()))))))))))</f>
        <v>0</v>
      </c>
      <c r="N156" s="68" t="str">
        <f>IF(M156=1,COUNTIF($M$2:M156,1),"")</f>
        <v/>
      </c>
      <c r="O156" s="50">
        <f t="shared" ca="1" si="8"/>
        <v>-76</v>
      </c>
      <c r="P156" s="17" t="str">
        <f t="shared" ca="1" si="9"/>
        <v>Vencido hace 76 días</v>
      </c>
      <c r="Q156" s="50">
        <f t="shared" si="10"/>
        <v>46177</v>
      </c>
      <c r="R156" s="17" t="str">
        <f>IF(M156=1,COUNTIFS($Q$2:Q156,Q156,$M$2:M156,1),"")</f>
        <v/>
      </c>
      <c r="S156" s="50" t="str">
        <f t="shared" si="11"/>
        <v/>
      </c>
    </row>
    <row r="157" spans="1:19" ht="45" customHeight="1" x14ac:dyDescent="0.35">
      <c r="A157" s="66">
        <v>46178</v>
      </c>
      <c r="B157" s="67" t="s">
        <v>26</v>
      </c>
      <c r="C157" s="67" t="s">
        <v>82</v>
      </c>
      <c r="D157" s="67" t="s">
        <v>83</v>
      </c>
      <c r="E157" s="67" t="s">
        <v>90</v>
      </c>
      <c r="F157" s="67" t="s">
        <v>158</v>
      </c>
      <c r="G157" s="67" t="s">
        <v>86</v>
      </c>
      <c r="H157" s="67" t="s">
        <v>87</v>
      </c>
      <c r="I157" s="67" t="s">
        <v>50</v>
      </c>
      <c r="J157" s="67" t="s">
        <v>88</v>
      </c>
      <c r="K157" s="67"/>
      <c r="L157" s="68" t="s">
        <v>26</v>
      </c>
      <c r="M157" s="68">
        <f>--AND(Configuración!$B$6&lt;&gt;"",OR(E157="Todas",ISNUMBER(SEARCH(Configuración!$B$7,E157))),IF(L157="Monotributo",Configuración!$B$10="Sí",IF(L157="Autónomos",Configuración!$B$11="Sí",IF(L157="Responsable inscripto",Configuración!$B$12="Sí",IF(L157="Empleador",Configuración!$B$13="Sí",IF(L157="Casas particulares",Configuración!$B$14="Sí",IF(L157="Retenciones",Configuración!$B$15="Sí",IF(L157="Sociedad",Configuración!$B$16="Sí",IF(L157="Persona humana",Configuración!$B$17="Sí",IF(L157="Convenio Multilateral",Configuración!$B$18="Sí",FALSE()))))))))))</f>
        <v>0</v>
      </c>
      <c r="N157" s="68" t="str">
        <f>IF(M157=1,COUNTIF($M$2:M157,1),"")</f>
        <v/>
      </c>
      <c r="O157" s="50">
        <f t="shared" ca="1" si="8"/>
        <v>-75</v>
      </c>
      <c r="P157" s="17" t="str">
        <f t="shared" ca="1" si="9"/>
        <v>Vencido hace 75 días</v>
      </c>
      <c r="Q157" s="50">
        <f t="shared" si="10"/>
        <v>46178</v>
      </c>
      <c r="R157" s="17" t="str">
        <f>IF(M157=1,COUNTIFS($Q$2:Q157,Q157,$M$2:M157,1),"")</f>
        <v/>
      </c>
      <c r="S157" s="50" t="str">
        <f t="shared" si="11"/>
        <v/>
      </c>
    </row>
    <row r="158" spans="1:19" ht="45" customHeight="1" x14ac:dyDescent="0.35">
      <c r="A158" s="66">
        <v>46178</v>
      </c>
      <c r="B158" s="67" t="s">
        <v>91</v>
      </c>
      <c r="C158" s="67" t="s">
        <v>92</v>
      </c>
      <c r="D158" s="67" t="s">
        <v>93</v>
      </c>
      <c r="E158" s="67" t="s">
        <v>89</v>
      </c>
      <c r="F158" s="67" t="s">
        <v>158</v>
      </c>
      <c r="G158" s="67" t="s">
        <v>94</v>
      </c>
      <c r="H158" s="67" t="s">
        <v>87</v>
      </c>
      <c r="I158" s="67" t="s">
        <v>50</v>
      </c>
      <c r="J158" s="67" t="s">
        <v>88</v>
      </c>
      <c r="K158" s="67"/>
      <c r="L158" s="68" t="s">
        <v>95</v>
      </c>
      <c r="M158" s="68">
        <f>--AND(Configuración!$B$6&lt;&gt;"",OR(E158="Todas",ISNUMBER(SEARCH(Configuración!$B$7,E158))),IF(L158="Monotributo",Configuración!$B$10="Sí",IF(L158="Autónomos",Configuración!$B$11="Sí",IF(L158="Responsable inscripto",Configuración!$B$12="Sí",IF(L158="Empleador",Configuración!$B$13="Sí",IF(L158="Casas particulares",Configuración!$B$14="Sí",IF(L158="Retenciones",Configuración!$B$15="Sí",IF(L158="Sociedad",Configuración!$B$16="Sí",IF(L158="Persona humana",Configuración!$B$17="Sí",IF(L158="Convenio Multilateral",Configuración!$B$18="Sí",FALSE()))))))))))</f>
        <v>0</v>
      </c>
      <c r="N158" s="68" t="str">
        <f>IF(M158=1,COUNTIF($M$2:M158,1),"")</f>
        <v/>
      </c>
      <c r="O158" s="50">
        <f t="shared" ca="1" si="8"/>
        <v>-75</v>
      </c>
      <c r="P158" s="17" t="str">
        <f t="shared" ca="1" si="9"/>
        <v>Vencido hace 75 días</v>
      </c>
      <c r="Q158" s="50">
        <f t="shared" si="10"/>
        <v>46178</v>
      </c>
      <c r="R158" s="17" t="str">
        <f>IF(M158=1,COUNTIFS($Q$2:Q158,Q158,$M$2:M158,1),"")</f>
        <v/>
      </c>
      <c r="S158" s="50" t="str">
        <f t="shared" si="11"/>
        <v/>
      </c>
    </row>
    <row r="159" spans="1:19" ht="45" customHeight="1" x14ac:dyDescent="0.35">
      <c r="A159" s="66">
        <v>46181</v>
      </c>
      <c r="B159" s="67" t="s">
        <v>96</v>
      </c>
      <c r="C159" s="67" t="s">
        <v>97</v>
      </c>
      <c r="D159" s="67" t="s">
        <v>98</v>
      </c>
      <c r="E159" s="67" t="s">
        <v>84</v>
      </c>
      <c r="F159" s="67" t="s">
        <v>158</v>
      </c>
      <c r="G159" s="67" t="s">
        <v>94</v>
      </c>
      <c r="H159" s="67" t="s">
        <v>87</v>
      </c>
      <c r="I159" s="67" t="s">
        <v>50</v>
      </c>
      <c r="J159" s="67" t="s">
        <v>88</v>
      </c>
      <c r="K159" s="67"/>
      <c r="L159" s="68" t="s">
        <v>99</v>
      </c>
      <c r="M159" s="68">
        <f>--AND(Configuración!$B$6&lt;&gt;"",OR(E159="Todas",ISNUMBER(SEARCH(Configuración!$B$7,E159))),IF(L159="Monotributo",Configuración!$B$10="Sí",IF(L159="Autónomos",Configuración!$B$11="Sí",IF(L159="Responsable inscripto",Configuración!$B$12="Sí",IF(L159="Empleador",Configuración!$B$13="Sí",IF(L159="Casas particulares",Configuración!$B$14="Sí",IF(L159="Retenciones",Configuración!$B$15="Sí",IF(L159="Sociedad",Configuración!$B$16="Sí",IF(L159="Persona humana",Configuración!$B$17="Sí",IF(L159="Convenio Multilateral",Configuración!$B$18="Sí",FALSE()))))))))))</f>
        <v>0</v>
      </c>
      <c r="N159" s="68" t="str">
        <f>IF(M159=1,COUNTIF($M$2:M159,1),"")</f>
        <v/>
      </c>
      <c r="O159" s="50">
        <f t="shared" ca="1" si="8"/>
        <v>-72</v>
      </c>
      <c r="P159" s="17" t="str">
        <f t="shared" ca="1" si="9"/>
        <v>Vencido hace 72 días</v>
      </c>
      <c r="Q159" s="50">
        <f t="shared" si="10"/>
        <v>46181</v>
      </c>
      <c r="R159" s="17" t="str">
        <f>IF(M159=1,COUNTIFS($Q$2:Q159,Q159,$M$2:M159,1),"")</f>
        <v/>
      </c>
      <c r="S159" s="50" t="str">
        <f t="shared" si="11"/>
        <v/>
      </c>
    </row>
    <row r="160" spans="1:19" ht="45" customHeight="1" x14ac:dyDescent="0.35">
      <c r="A160" s="66">
        <v>46181</v>
      </c>
      <c r="B160" s="67" t="s">
        <v>96</v>
      </c>
      <c r="C160" s="67" t="s">
        <v>97</v>
      </c>
      <c r="D160" s="67" t="s">
        <v>98</v>
      </c>
      <c r="E160" s="67" t="s">
        <v>89</v>
      </c>
      <c r="F160" s="67" t="s">
        <v>158</v>
      </c>
      <c r="G160" s="67" t="s">
        <v>94</v>
      </c>
      <c r="H160" s="67" t="s">
        <v>87</v>
      </c>
      <c r="I160" s="67" t="s">
        <v>50</v>
      </c>
      <c r="J160" s="67" t="s">
        <v>88</v>
      </c>
      <c r="K160" s="67"/>
      <c r="L160" s="68" t="s">
        <v>99</v>
      </c>
      <c r="M160" s="68">
        <f>--AND(Configuración!$B$6&lt;&gt;"",OR(E160="Todas",ISNUMBER(SEARCH(Configuración!$B$7,E160))),IF(L160="Monotributo",Configuración!$B$10="Sí",IF(L160="Autónomos",Configuración!$B$11="Sí",IF(L160="Responsable inscripto",Configuración!$B$12="Sí",IF(L160="Empleador",Configuración!$B$13="Sí",IF(L160="Casas particulares",Configuración!$B$14="Sí",IF(L160="Retenciones",Configuración!$B$15="Sí",IF(L160="Sociedad",Configuración!$B$16="Sí",IF(L160="Persona humana",Configuración!$B$17="Sí",IF(L160="Convenio Multilateral",Configuración!$B$18="Sí",FALSE()))))))))))</f>
        <v>0</v>
      </c>
      <c r="N160" s="68" t="str">
        <f>IF(M160=1,COUNTIF($M$2:M160,1),"")</f>
        <v/>
      </c>
      <c r="O160" s="50">
        <f t="shared" ca="1" si="8"/>
        <v>-72</v>
      </c>
      <c r="P160" s="17" t="str">
        <f t="shared" ca="1" si="9"/>
        <v>Vencido hace 72 días</v>
      </c>
      <c r="Q160" s="50">
        <f t="shared" si="10"/>
        <v>46181</v>
      </c>
      <c r="R160" s="17" t="str">
        <f>IF(M160=1,COUNTIFS($Q$2:Q160,Q160,$M$2:M160,1),"")</f>
        <v/>
      </c>
      <c r="S160" s="50" t="str">
        <f t="shared" si="11"/>
        <v/>
      </c>
    </row>
    <row r="161" spans="1:19" ht="45" customHeight="1" x14ac:dyDescent="0.35">
      <c r="A161" s="66">
        <v>46181</v>
      </c>
      <c r="B161" s="67" t="s">
        <v>91</v>
      </c>
      <c r="C161" s="67" t="s">
        <v>92</v>
      </c>
      <c r="D161" s="67" t="s">
        <v>93</v>
      </c>
      <c r="E161" s="67" t="s">
        <v>90</v>
      </c>
      <c r="F161" s="67" t="s">
        <v>158</v>
      </c>
      <c r="G161" s="67" t="s">
        <v>94</v>
      </c>
      <c r="H161" s="67" t="s">
        <v>87</v>
      </c>
      <c r="I161" s="67" t="s">
        <v>50</v>
      </c>
      <c r="J161" s="67" t="s">
        <v>88</v>
      </c>
      <c r="K161" s="67"/>
      <c r="L161" s="68" t="s">
        <v>95</v>
      </c>
      <c r="M161" s="68">
        <f>--AND(Configuración!$B$6&lt;&gt;"",OR(E161="Todas",ISNUMBER(SEARCH(Configuración!$B$7,E161))),IF(L161="Monotributo",Configuración!$B$10="Sí",IF(L161="Autónomos",Configuración!$B$11="Sí",IF(L161="Responsable inscripto",Configuración!$B$12="Sí",IF(L161="Empleador",Configuración!$B$13="Sí",IF(L161="Casas particulares",Configuración!$B$14="Sí",IF(L161="Retenciones",Configuración!$B$15="Sí",IF(L161="Sociedad",Configuración!$B$16="Sí",IF(L161="Persona humana",Configuración!$B$17="Sí",IF(L161="Convenio Multilateral",Configuración!$B$18="Sí",FALSE()))))))))))</f>
        <v>0</v>
      </c>
      <c r="N161" s="68" t="str">
        <f>IF(M161=1,COUNTIF($M$2:M161,1),"")</f>
        <v/>
      </c>
      <c r="O161" s="50">
        <f t="shared" ca="1" si="8"/>
        <v>-72</v>
      </c>
      <c r="P161" s="17" t="str">
        <f t="shared" ca="1" si="9"/>
        <v>Vencido hace 72 días</v>
      </c>
      <c r="Q161" s="50">
        <f t="shared" si="10"/>
        <v>46181</v>
      </c>
      <c r="R161" s="17" t="str">
        <f>IF(M161=1,COUNTIFS($Q$2:Q161,Q161,$M$2:M161,1),"")</f>
        <v/>
      </c>
      <c r="S161" s="50" t="str">
        <f t="shared" si="11"/>
        <v/>
      </c>
    </row>
    <row r="162" spans="1:19" ht="45" customHeight="1" x14ac:dyDescent="0.35">
      <c r="A162" s="66">
        <v>46182</v>
      </c>
      <c r="B162" s="67" t="s">
        <v>96</v>
      </c>
      <c r="C162" s="67" t="s">
        <v>97</v>
      </c>
      <c r="D162" s="67" t="s">
        <v>98</v>
      </c>
      <c r="E162" s="67" t="s">
        <v>90</v>
      </c>
      <c r="F162" s="67" t="s">
        <v>158</v>
      </c>
      <c r="G162" s="67" t="s">
        <v>94</v>
      </c>
      <c r="H162" s="67" t="s">
        <v>87</v>
      </c>
      <c r="I162" s="67" t="s">
        <v>50</v>
      </c>
      <c r="J162" s="67" t="s">
        <v>88</v>
      </c>
      <c r="K162" s="67"/>
      <c r="L162" s="68" t="s">
        <v>99</v>
      </c>
      <c r="M162" s="68">
        <f>--AND(Configuración!$B$6&lt;&gt;"",OR(E162="Todas",ISNUMBER(SEARCH(Configuración!$B$7,E162))),IF(L162="Monotributo",Configuración!$B$10="Sí",IF(L162="Autónomos",Configuración!$B$11="Sí",IF(L162="Responsable inscripto",Configuración!$B$12="Sí",IF(L162="Empleador",Configuración!$B$13="Sí",IF(L162="Casas particulares",Configuración!$B$14="Sí",IF(L162="Retenciones",Configuración!$B$15="Sí",IF(L162="Sociedad",Configuración!$B$16="Sí",IF(L162="Persona humana",Configuración!$B$17="Sí",IF(L162="Convenio Multilateral",Configuración!$B$18="Sí",FALSE()))))))))))</f>
        <v>0</v>
      </c>
      <c r="N162" s="68" t="str">
        <f>IF(M162=1,COUNTIF($M$2:M162,1),"")</f>
        <v/>
      </c>
      <c r="O162" s="50">
        <f t="shared" ca="1" si="8"/>
        <v>-71</v>
      </c>
      <c r="P162" s="17" t="str">
        <f t="shared" ca="1" si="9"/>
        <v>Vencido hace 71 días</v>
      </c>
      <c r="Q162" s="50">
        <f t="shared" si="10"/>
        <v>46182</v>
      </c>
      <c r="R162" s="17" t="str">
        <f>IF(M162=1,COUNTIFS($Q$2:Q162,Q162,$M$2:M162,1),"")</f>
        <v/>
      </c>
      <c r="S162" s="50" t="str">
        <f t="shared" si="11"/>
        <v/>
      </c>
    </row>
    <row r="163" spans="1:19" ht="45" customHeight="1" x14ac:dyDescent="0.35">
      <c r="A163" s="66">
        <v>46182</v>
      </c>
      <c r="B163" s="67" t="s">
        <v>100</v>
      </c>
      <c r="C163" s="67" t="s">
        <v>101</v>
      </c>
      <c r="D163" s="67" t="s">
        <v>93</v>
      </c>
      <c r="E163" s="67" t="s">
        <v>84</v>
      </c>
      <c r="F163" s="67" t="s">
        <v>158</v>
      </c>
      <c r="G163" s="67" t="s">
        <v>94</v>
      </c>
      <c r="H163" s="67" t="s">
        <v>87</v>
      </c>
      <c r="I163" s="67" t="s">
        <v>50</v>
      </c>
      <c r="J163" s="67" t="s">
        <v>88</v>
      </c>
      <c r="K163" s="67"/>
      <c r="L163" s="68" t="s">
        <v>95</v>
      </c>
      <c r="M163" s="68">
        <f>--AND(Configuración!$B$6&lt;&gt;"",OR(E163="Todas",ISNUMBER(SEARCH(Configuración!$B$7,E163))),IF(L163="Monotributo",Configuración!$B$10="Sí",IF(L163="Autónomos",Configuración!$B$11="Sí",IF(L163="Responsable inscripto",Configuración!$B$12="Sí",IF(L163="Empleador",Configuración!$B$13="Sí",IF(L163="Casas particulares",Configuración!$B$14="Sí",IF(L163="Retenciones",Configuración!$B$15="Sí",IF(L163="Sociedad",Configuración!$B$16="Sí",IF(L163="Persona humana",Configuración!$B$17="Sí",IF(L163="Convenio Multilateral",Configuración!$B$18="Sí",FALSE()))))))))))</f>
        <v>0</v>
      </c>
      <c r="N163" s="68" t="str">
        <f>IF(M163=1,COUNTIF($M$2:M163,1),"")</f>
        <v/>
      </c>
      <c r="O163" s="50">
        <f t="shared" ca="1" si="8"/>
        <v>-71</v>
      </c>
      <c r="P163" s="17" t="str">
        <f t="shared" ca="1" si="9"/>
        <v>Vencido hace 71 días</v>
      </c>
      <c r="Q163" s="50">
        <f t="shared" si="10"/>
        <v>46182</v>
      </c>
      <c r="R163" s="17" t="str">
        <f>IF(M163=1,COUNTIFS($Q$2:Q163,Q163,$M$2:M163,1),"")</f>
        <v/>
      </c>
      <c r="S163" s="50" t="str">
        <f t="shared" si="11"/>
        <v/>
      </c>
    </row>
    <row r="164" spans="1:19" ht="45" customHeight="1" x14ac:dyDescent="0.35">
      <c r="A164" s="66">
        <v>46183</v>
      </c>
      <c r="B164" s="67" t="s">
        <v>29</v>
      </c>
      <c r="C164" s="67" t="s">
        <v>102</v>
      </c>
      <c r="D164" s="67" t="s">
        <v>103</v>
      </c>
      <c r="E164" s="67" t="s">
        <v>104</v>
      </c>
      <c r="F164" s="67" t="s">
        <v>158</v>
      </c>
      <c r="G164" s="67" t="s">
        <v>86</v>
      </c>
      <c r="H164" s="67" t="s">
        <v>87</v>
      </c>
      <c r="I164" s="67" t="s">
        <v>50</v>
      </c>
      <c r="J164" s="67" t="s">
        <v>88</v>
      </c>
      <c r="K164" s="67"/>
      <c r="L164" s="68" t="s">
        <v>29</v>
      </c>
      <c r="M164" s="68">
        <f>--AND(Configuración!$B$6&lt;&gt;"",OR(E164="Todas",ISNUMBER(SEARCH(Configuración!$B$7,E164))),IF(L164="Monotributo",Configuración!$B$10="Sí",IF(L164="Autónomos",Configuración!$B$11="Sí",IF(L164="Responsable inscripto",Configuración!$B$12="Sí",IF(L164="Empleador",Configuración!$B$13="Sí",IF(L164="Casas particulares",Configuración!$B$14="Sí",IF(L164="Retenciones",Configuración!$B$15="Sí",IF(L164="Sociedad",Configuración!$B$16="Sí",IF(L164="Persona humana",Configuración!$B$17="Sí",IF(L164="Convenio Multilateral",Configuración!$B$18="Sí",FALSE()))))))))))</f>
        <v>0</v>
      </c>
      <c r="N164" s="68" t="str">
        <f>IF(M164=1,COUNTIF($M$2:M164,1),"")</f>
        <v/>
      </c>
      <c r="O164" s="50">
        <f t="shared" ca="1" si="8"/>
        <v>-70</v>
      </c>
      <c r="P164" s="17" t="str">
        <f t="shared" ca="1" si="9"/>
        <v>Vencido hace 70 días</v>
      </c>
      <c r="Q164" s="50">
        <f t="shared" si="10"/>
        <v>46183</v>
      </c>
      <c r="R164" s="17" t="str">
        <f>IF(M164=1,COUNTIFS($Q$2:Q164,Q164,$M$2:M164,1),"")</f>
        <v/>
      </c>
      <c r="S164" s="50" t="str">
        <f t="shared" si="11"/>
        <v/>
      </c>
    </row>
    <row r="165" spans="1:19" ht="45" customHeight="1" x14ac:dyDescent="0.35">
      <c r="A165" s="66">
        <v>46183</v>
      </c>
      <c r="B165" s="67" t="s">
        <v>100</v>
      </c>
      <c r="C165" s="67" t="s">
        <v>101</v>
      </c>
      <c r="D165" s="67" t="s">
        <v>93</v>
      </c>
      <c r="E165" s="67" t="s">
        <v>89</v>
      </c>
      <c r="F165" s="67" t="s">
        <v>158</v>
      </c>
      <c r="G165" s="67" t="s">
        <v>94</v>
      </c>
      <c r="H165" s="67" t="s">
        <v>87</v>
      </c>
      <c r="I165" s="67" t="s">
        <v>50</v>
      </c>
      <c r="J165" s="67" t="s">
        <v>88</v>
      </c>
      <c r="K165" s="67"/>
      <c r="L165" s="68" t="s">
        <v>95</v>
      </c>
      <c r="M165" s="68">
        <f>--AND(Configuración!$B$6&lt;&gt;"",OR(E165="Todas",ISNUMBER(SEARCH(Configuración!$B$7,E165))),IF(L165="Monotributo",Configuración!$B$10="Sí",IF(L165="Autónomos",Configuración!$B$11="Sí",IF(L165="Responsable inscripto",Configuración!$B$12="Sí",IF(L165="Empleador",Configuración!$B$13="Sí",IF(L165="Casas particulares",Configuración!$B$14="Sí",IF(L165="Retenciones",Configuración!$B$15="Sí",IF(L165="Sociedad",Configuración!$B$16="Sí",IF(L165="Persona humana",Configuración!$B$17="Sí",IF(L165="Convenio Multilateral",Configuración!$B$18="Sí",FALSE()))))))))))</f>
        <v>0</v>
      </c>
      <c r="N165" s="68" t="str">
        <f>IF(M165=1,COUNTIF($M$2:M165,1),"")</f>
        <v/>
      </c>
      <c r="O165" s="50">
        <f t="shared" ca="1" si="8"/>
        <v>-70</v>
      </c>
      <c r="P165" s="17" t="str">
        <f t="shared" ca="1" si="9"/>
        <v>Vencido hace 70 días</v>
      </c>
      <c r="Q165" s="50">
        <f t="shared" si="10"/>
        <v>46183</v>
      </c>
      <c r="R165" s="17" t="str">
        <f>IF(M165=1,COUNTIFS($Q$2:Q165,Q165,$M$2:M165,1),"")</f>
        <v/>
      </c>
      <c r="S165" s="50" t="str">
        <f t="shared" si="11"/>
        <v/>
      </c>
    </row>
    <row r="166" spans="1:19" ht="45" customHeight="1" x14ac:dyDescent="0.35">
      <c r="A166" s="66">
        <v>46184</v>
      </c>
      <c r="B166" s="67" t="s">
        <v>100</v>
      </c>
      <c r="C166" s="67" t="s">
        <v>101</v>
      </c>
      <c r="D166" s="67" t="s">
        <v>93</v>
      </c>
      <c r="E166" s="67" t="s">
        <v>90</v>
      </c>
      <c r="F166" s="67" t="s">
        <v>158</v>
      </c>
      <c r="G166" s="67" t="s">
        <v>94</v>
      </c>
      <c r="H166" s="67" t="s">
        <v>87</v>
      </c>
      <c r="I166" s="67" t="s">
        <v>50</v>
      </c>
      <c r="J166" s="67" t="s">
        <v>88</v>
      </c>
      <c r="K166" s="67"/>
      <c r="L166" s="68" t="s">
        <v>95</v>
      </c>
      <c r="M166" s="68">
        <f>--AND(Configuración!$B$6&lt;&gt;"",OR(E166="Todas",ISNUMBER(SEARCH(Configuración!$B$7,E166))),IF(L166="Monotributo",Configuración!$B$10="Sí",IF(L166="Autónomos",Configuración!$B$11="Sí",IF(L166="Responsable inscripto",Configuración!$B$12="Sí",IF(L166="Empleador",Configuración!$B$13="Sí",IF(L166="Casas particulares",Configuración!$B$14="Sí",IF(L166="Retenciones",Configuración!$B$15="Sí",IF(L166="Sociedad",Configuración!$B$16="Sí",IF(L166="Persona humana",Configuración!$B$17="Sí",IF(L166="Convenio Multilateral",Configuración!$B$18="Sí",FALSE()))))))))))</f>
        <v>0</v>
      </c>
      <c r="N166" s="68" t="str">
        <f>IF(M166=1,COUNTIF($M$2:M166,1),"")</f>
        <v/>
      </c>
      <c r="O166" s="50">
        <f t="shared" ca="1" si="8"/>
        <v>-69</v>
      </c>
      <c r="P166" s="17" t="str">
        <f t="shared" ca="1" si="9"/>
        <v>Vencido hace 69 días</v>
      </c>
      <c r="Q166" s="50">
        <f t="shared" si="10"/>
        <v>46184</v>
      </c>
      <c r="R166" s="17" t="str">
        <f>IF(M166=1,COUNTIFS($Q$2:Q166,Q166,$M$2:M166,1),"")</f>
        <v/>
      </c>
      <c r="S166" s="50" t="str">
        <f t="shared" si="11"/>
        <v/>
      </c>
    </row>
    <row r="167" spans="1:19" ht="45" customHeight="1" x14ac:dyDescent="0.35">
      <c r="A167" s="66">
        <v>46189</v>
      </c>
      <c r="B167" s="67" t="s">
        <v>29</v>
      </c>
      <c r="C167" s="67" t="s">
        <v>113</v>
      </c>
      <c r="D167" s="67" t="s">
        <v>114</v>
      </c>
      <c r="E167" s="67" t="s">
        <v>104</v>
      </c>
      <c r="F167" s="67" t="s">
        <v>158</v>
      </c>
      <c r="G167" s="67" t="s">
        <v>86</v>
      </c>
      <c r="H167" s="67" t="s">
        <v>87</v>
      </c>
      <c r="I167" s="67" t="s">
        <v>50</v>
      </c>
      <c r="J167" s="67" t="s">
        <v>88</v>
      </c>
      <c r="K167" s="67"/>
      <c r="L167" s="68" t="s">
        <v>29</v>
      </c>
      <c r="M167" s="68">
        <f>--AND(Configuración!$B$6&lt;&gt;"",OR(E167="Todas",ISNUMBER(SEARCH(Configuración!$B$7,E167))),IF(L167="Monotributo",Configuración!$B$10="Sí",IF(L167="Autónomos",Configuración!$B$11="Sí",IF(L167="Responsable inscripto",Configuración!$B$12="Sí",IF(L167="Empleador",Configuración!$B$13="Sí",IF(L167="Casas particulares",Configuración!$B$14="Sí",IF(L167="Retenciones",Configuración!$B$15="Sí",IF(L167="Sociedad",Configuración!$B$16="Sí",IF(L167="Persona humana",Configuración!$B$17="Sí",IF(L167="Convenio Multilateral",Configuración!$B$18="Sí",FALSE()))))))))))</f>
        <v>0</v>
      </c>
      <c r="N167" s="68" t="str">
        <f>IF(M167=1,COUNTIF($M$2:M167,1),"")</f>
        <v/>
      </c>
      <c r="O167" s="50">
        <f t="shared" ca="1" si="8"/>
        <v>-64</v>
      </c>
      <c r="P167" s="17" t="str">
        <f t="shared" ca="1" si="9"/>
        <v>Vencido hace 64 días</v>
      </c>
      <c r="Q167" s="50">
        <f t="shared" si="10"/>
        <v>46189</v>
      </c>
      <c r="R167" s="17" t="str">
        <f>IF(M167=1,COUNTIFS($Q$2:Q167,Q167,$M$2:M167,1),"")</f>
        <v/>
      </c>
      <c r="S167" s="50" t="str">
        <f t="shared" si="11"/>
        <v/>
      </c>
    </row>
    <row r="168" spans="1:19" ht="45" customHeight="1" x14ac:dyDescent="0.35">
      <c r="A168" s="66">
        <v>46189.625</v>
      </c>
      <c r="B168" s="67" t="s">
        <v>105</v>
      </c>
      <c r="C168" s="67" t="s">
        <v>106</v>
      </c>
      <c r="D168" s="67" t="s">
        <v>107</v>
      </c>
      <c r="E168" s="67" t="s">
        <v>84</v>
      </c>
      <c r="F168" s="67" t="s">
        <v>141</v>
      </c>
      <c r="G168" s="67" t="s">
        <v>109</v>
      </c>
      <c r="H168" s="67" t="s">
        <v>87</v>
      </c>
      <c r="I168" s="67" t="s">
        <v>50</v>
      </c>
      <c r="J168" s="67" t="s">
        <v>110</v>
      </c>
      <c r="K168" s="67" t="s">
        <v>111</v>
      </c>
      <c r="L168" s="68" t="s">
        <v>112</v>
      </c>
      <c r="M168" s="68">
        <f>--AND(Configuración!$B$6&lt;&gt;"",OR(E168="Todas",ISNUMBER(SEARCH(Configuración!$B$7,E168))),IF(L168="Monotributo",Configuración!$B$10="Sí",IF(L168="Autónomos",Configuración!$B$11="Sí",IF(L168="Responsable inscripto",Configuración!$B$12="Sí",IF(L168="Empleador",Configuración!$B$13="Sí",IF(L168="Casas particulares",Configuración!$B$14="Sí",IF(L168="Retenciones",Configuración!$B$15="Sí",IF(L168="Sociedad",Configuración!$B$16="Sí",IF(L168="Persona humana",Configuración!$B$17="Sí",IF(L168="Convenio Multilateral",Configuración!$B$18="Sí",FALSE()))))))))))</f>
        <v>0</v>
      </c>
      <c r="N168" s="68" t="str">
        <f>IF(M168=1,COUNTIF($M$2:M168,1),"")</f>
        <v/>
      </c>
      <c r="O168" s="50">
        <f t="shared" ca="1" si="8"/>
        <v>-64</v>
      </c>
      <c r="P168" s="17" t="str">
        <f t="shared" ca="1" si="9"/>
        <v>Vencido hace 64 días</v>
      </c>
      <c r="Q168" s="50">
        <f t="shared" si="10"/>
        <v>46189</v>
      </c>
      <c r="R168" s="17" t="str">
        <f>IF(M168=1,COUNTIFS($Q$2:Q168,Q168,$M$2:M168,1),"")</f>
        <v/>
      </c>
      <c r="S168" s="50" t="str">
        <f t="shared" si="11"/>
        <v/>
      </c>
    </row>
    <row r="169" spans="1:19" ht="45" customHeight="1" x14ac:dyDescent="0.35">
      <c r="A169" s="66">
        <v>46189.625</v>
      </c>
      <c r="B169" s="67" t="s">
        <v>137</v>
      </c>
      <c r="C169" s="67" t="s">
        <v>138</v>
      </c>
      <c r="D169" s="67" t="s">
        <v>139</v>
      </c>
      <c r="E169" s="67" t="s">
        <v>140</v>
      </c>
      <c r="F169" s="67" t="s">
        <v>159</v>
      </c>
      <c r="G169" s="67" t="s">
        <v>94</v>
      </c>
      <c r="H169" s="67" t="s">
        <v>142</v>
      </c>
      <c r="I169" s="67" t="s">
        <v>50</v>
      </c>
      <c r="J169" s="67" t="s">
        <v>150</v>
      </c>
      <c r="K169" s="67" t="s">
        <v>151</v>
      </c>
      <c r="L169" s="68" t="s">
        <v>33</v>
      </c>
      <c r="M169" s="68">
        <f>--AND(Configuración!$B$6&lt;&gt;"",OR(E169="Todas",ISNUMBER(SEARCH(Configuración!$B$7,E169))),IF(L169="Monotributo",Configuración!$B$10="Sí",IF(L169="Autónomos",Configuración!$B$11="Sí",IF(L169="Responsable inscripto",Configuración!$B$12="Sí",IF(L169="Empleador",Configuración!$B$13="Sí",IF(L169="Casas particulares",Configuración!$B$14="Sí",IF(L169="Retenciones",Configuración!$B$15="Sí",IF(L169="Sociedad",Configuración!$B$16="Sí",IF(L169="Persona humana",Configuración!$B$17="Sí",IF(L169="Convenio Multilateral",Configuración!$B$18="Sí",FALSE()))))))))))</f>
        <v>0</v>
      </c>
      <c r="N169" s="68" t="str">
        <f>IF(M169=1,COUNTIF($M$2:M169,1),"")</f>
        <v/>
      </c>
      <c r="O169" s="50">
        <f t="shared" ca="1" si="8"/>
        <v>-64</v>
      </c>
      <c r="P169" s="17" t="str">
        <f t="shared" ca="1" si="9"/>
        <v>Vencido hace 64 días</v>
      </c>
      <c r="Q169" s="50">
        <f t="shared" si="10"/>
        <v>46189</v>
      </c>
      <c r="R169" s="17" t="str">
        <f>IF(M169=1,COUNTIFS($Q$2:Q169,Q169,$M$2:M169,1),"")</f>
        <v/>
      </c>
      <c r="S169" s="50" t="str">
        <f t="shared" si="11"/>
        <v/>
      </c>
    </row>
    <row r="170" spans="1:19" ht="45" customHeight="1" x14ac:dyDescent="0.35">
      <c r="A170" s="66">
        <v>46190.625</v>
      </c>
      <c r="B170" s="67" t="s">
        <v>105</v>
      </c>
      <c r="C170" s="67" t="s">
        <v>106</v>
      </c>
      <c r="D170" s="67" t="s">
        <v>107</v>
      </c>
      <c r="E170" s="67" t="s">
        <v>89</v>
      </c>
      <c r="F170" s="67" t="s">
        <v>141</v>
      </c>
      <c r="G170" s="67" t="s">
        <v>109</v>
      </c>
      <c r="H170" s="67" t="s">
        <v>87</v>
      </c>
      <c r="I170" s="67" t="s">
        <v>50</v>
      </c>
      <c r="J170" s="67" t="s">
        <v>110</v>
      </c>
      <c r="K170" s="67" t="s">
        <v>111</v>
      </c>
      <c r="L170" s="68" t="s">
        <v>112</v>
      </c>
      <c r="M170" s="68">
        <f>--AND(Configuración!$B$6&lt;&gt;"",OR(E170="Todas",ISNUMBER(SEARCH(Configuración!$B$7,E170))),IF(L170="Monotributo",Configuración!$B$10="Sí",IF(L170="Autónomos",Configuración!$B$11="Sí",IF(L170="Responsable inscripto",Configuración!$B$12="Sí",IF(L170="Empleador",Configuración!$B$13="Sí",IF(L170="Casas particulares",Configuración!$B$14="Sí",IF(L170="Retenciones",Configuración!$B$15="Sí",IF(L170="Sociedad",Configuración!$B$16="Sí",IF(L170="Persona humana",Configuración!$B$17="Sí",IF(L170="Convenio Multilateral",Configuración!$B$18="Sí",FALSE()))))))))))</f>
        <v>0</v>
      </c>
      <c r="N170" s="68" t="str">
        <f>IF(M170=1,COUNTIF($M$2:M170,1),"")</f>
        <v/>
      </c>
      <c r="O170" s="50">
        <f t="shared" ca="1" si="8"/>
        <v>-63</v>
      </c>
      <c r="P170" s="17" t="str">
        <f t="shared" ca="1" si="9"/>
        <v>Vencido hace 63 días</v>
      </c>
      <c r="Q170" s="50">
        <f t="shared" si="10"/>
        <v>46190</v>
      </c>
      <c r="R170" s="17" t="str">
        <f>IF(M170=1,COUNTIFS($Q$2:Q170,Q170,$M$2:M170,1),"")</f>
        <v/>
      </c>
      <c r="S170" s="50" t="str">
        <f t="shared" si="11"/>
        <v/>
      </c>
    </row>
    <row r="171" spans="1:19" ht="45" customHeight="1" x14ac:dyDescent="0.35">
      <c r="A171" s="66">
        <v>46190.625</v>
      </c>
      <c r="B171" s="67" t="s">
        <v>137</v>
      </c>
      <c r="C171" s="67" t="s">
        <v>138</v>
      </c>
      <c r="D171" s="67" t="s">
        <v>139</v>
      </c>
      <c r="E171" s="67" t="s">
        <v>145</v>
      </c>
      <c r="F171" s="67" t="s">
        <v>159</v>
      </c>
      <c r="G171" s="67" t="s">
        <v>94</v>
      </c>
      <c r="H171" s="67" t="s">
        <v>142</v>
      </c>
      <c r="I171" s="67" t="s">
        <v>50</v>
      </c>
      <c r="J171" s="67" t="s">
        <v>150</v>
      </c>
      <c r="K171" s="67" t="s">
        <v>151</v>
      </c>
      <c r="L171" s="68" t="s">
        <v>33</v>
      </c>
      <c r="M171" s="68">
        <f>--AND(Configuración!$B$6&lt;&gt;"",OR(E171="Todas",ISNUMBER(SEARCH(Configuración!$B$7,E171))),IF(L171="Monotributo",Configuración!$B$10="Sí",IF(L171="Autónomos",Configuración!$B$11="Sí",IF(L171="Responsable inscripto",Configuración!$B$12="Sí",IF(L171="Empleador",Configuración!$B$13="Sí",IF(L171="Casas particulares",Configuración!$B$14="Sí",IF(L171="Retenciones",Configuración!$B$15="Sí",IF(L171="Sociedad",Configuración!$B$16="Sí",IF(L171="Persona humana",Configuración!$B$17="Sí",IF(L171="Convenio Multilateral",Configuración!$B$18="Sí",FALSE()))))))))))</f>
        <v>0</v>
      </c>
      <c r="N171" s="68" t="str">
        <f>IF(M171=1,COUNTIF($M$2:M171,1),"")</f>
        <v/>
      </c>
      <c r="O171" s="50">
        <f t="shared" ca="1" si="8"/>
        <v>-63</v>
      </c>
      <c r="P171" s="17" t="str">
        <f t="shared" ca="1" si="9"/>
        <v>Vencido hace 63 días</v>
      </c>
      <c r="Q171" s="50">
        <f t="shared" si="10"/>
        <v>46190</v>
      </c>
      <c r="R171" s="17" t="str">
        <f>IF(M171=1,COUNTIFS($Q$2:Q171,Q171,$M$2:M171,1),"")</f>
        <v/>
      </c>
      <c r="S171" s="50" t="str">
        <f t="shared" si="11"/>
        <v/>
      </c>
    </row>
    <row r="172" spans="1:19" ht="45" customHeight="1" x14ac:dyDescent="0.35">
      <c r="A172" s="66">
        <v>46191</v>
      </c>
      <c r="B172" s="67" t="s">
        <v>115</v>
      </c>
      <c r="C172" s="67" t="s">
        <v>116</v>
      </c>
      <c r="D172" s="67" t="s">
        <v>117</v>
      </c>
      <c r="E172" s="67" t="s">
        <v>84</v>
      </c>
      <c r="F172" s="67" t="s">
        <v>158</v>
      </c>
      <c r="G172" s="67" t="s">
        <v>94</v>
      </c>
      <c r="H172" s="67" t="s">
        <v>87</v>
      </c>
      <c r="I172" s="67" t="s">
        <v>50</v>
      </c>
      <c r="J172" s="67" t="s">
        <v>88</v>
      </c>
      <c r="K172" s="67"/>
      <c r="L172" s="68" t="s">
        <v>118</v>
      </c>
      <c r="M172" s="68">
        <f>--AND(Configuración!$B$6&lt;&gt;"",OR(E172="Todas",ISNUMBER(SEARCH(Configuración!$B$7,E172))),IF(L172="Monotributo",Configuración!$B$10="Sí",IF(L172="Autónomos",Configuración!$B$11="Sí",IF(L172="Responsable inscripto",Configuración!$B$12="Sí",IF(L172="Empleador",Configuración!$B$13="Sí",IF(L172="Casas particulares",Configuración!$B$14="Sí",IF(L172="Retenciones",Configuración!$B$15="Sí",IF(L172="Sociedad",Configuración!$B$16="Sí",IF(L172="Persona humana",Configuración!$B$17="Sí",IF(L172="Convenio Multilateral",Configuración!$B$18="Sí",FALSE()))))))))))</f>
        <v>0</v>
      </c>
      <c r="N172" s="68" t="str">
        <f>IF(M172=1,COUNTIF($M$2:M172,1),"")</f>
        <v/>
      </c>
      <c r="O172" s="50">
        <f t="shared" ca="1" si="8"/>
        <v>-62</v>
      </c>
      <c r="P172" s="17" t="str">
        <f t="shared" ca="1" si="9"/>
        <v>Vencido hace 62 días</v>
      </c>
      <c r="Q172" s="50">
        <f t="shared" si="10"/>
        <v>46191</v>
      </c>
      <c r="R172" s="17" t="str">
        <f>IF(M172=1,COUNTIFS($Q$2:Q172,Q172,$M$2:M172,1),"")</f>
        <v/>
      </c>
      <c r="S172" s="50" t="str">
        <f t="shared" si="11"/>
        <v/>
      </c>
    </row>
    <row r="173" spans="1:19" ht="45" customHeight="1" x14ac:dyDescent="0.35">
      <c r="A173" s="66">
        <v>46191</v>
      </c>
      <c r="B173" s="67" t="s">
        <v>119</v>
      </c>
      <c r="C173" s="67" t="s">
        <v>120</v>
      </c>
      <c r="D173" s="67" t="s">
        <v>121</v>
      </c>
      <c r="E173" s="67" t="s">
        <v>84</v>
      </c>
      <c r="F173" s="67" t="s">
        <v>158</v>
      </c>
      <c r="G173" s="67" t="s">
        <v>94</v>
      </c>
      <c r="H173" s="67" t="s">
        <v>87</v>
      </c>
      <c r="I173" s="67" t="s">
        <v>50</v>
      </c>
      <c r="J173" s="67" t="s">
        <v>88</v>
      </c>
      <c r="K173" s="67"/>
      <c r="L173" s="68" t="s">
        <v>118</v>
      </c>
      <c r="M173" s="68">
        <f>--AND(Configuración!$B$6&lt;&gt;"",OR(E173="Todas",ISNUMBER(SEARCH(Configuración!$B$7,E173))),IF(L173="Monotributo",Configuración!$B$10="Sí",IF(L173="Autónomos",Configuración!$B$11="Sí",IF(L173="Responsable inscripto",Configuración!$B$12="Sí",IF(L173="Empleador",Configuración!$B$13="Sí",IF(L173="Casas particulares",Configuración!$B$14="Sí",IF(L173="Retenciones",Configuración!$B$15="Sí",IF(L173="Sociedad",Configuración!$B$16="Sí",IF(L173="Persona humana",Configuración!$B$17="Sí",IF(L173="Convenio Multilateral",Configuración!$B$18="Sí",FALSE()))))))))))</f>
        <v>0</v>
      </c>
      <c r="N173" s="68" t="str">
        <f>IF(M173=1,COUNTIF($M$2:M173,1),"")</f>
        <v/>
      </c>
      <c r="O173" s="50">
        <f t="shared" ca="1" si="8"/>
        <v>-62</v>
      </c>
      <c r="P173" s="17" t="str">
        <f t="shared" ca="1" si="9"/>
        <v>Vencido hace 62 días</v>
      </c>
      <c r="Q173" s="50">
        <f t="shared" si="10"/>
        <v>46191</v>
      </c>
      <c r="R173" s="17" t="str">
        <f>IF(M173=1,COUNTIFS($Q$2:Q173,Q173,$M$2:M173,1),"")</f>
        <v/>
      </c>
      <c r="S173" s="50" t="str">
        <f t="shared" si="11"/>
        <v/>
      </c>
    </row>
    <row r="174" spans="1:19" ht="45" customHeight="1" x14ac:dyDescent="0.35">
      <c r="A174" s="66">
        <v>46191</v>
      </c>
      <c r="B174" s="67" t="s">
        <v>122</v>
      </c>
      <c r="C174" s="67" t="s">
        <v>123</v>
      </c>
      <c r="D174" s="67" t="s">
        <v>124</v>
      </c>
      <c r="E174" s="67" t="s">
        <v>84</v>
      </c>
      <c r="F174" s="67" t="s">
        <v>158</v>
      </c>
      <c r="G174" s="67" t="s">
        <v>109</v>
      </c>
      <c r="H174" s="67" t="s">
        <v>87</v>
      </c>
      <c r="I174" s="67" t="s">
        <v>50</v>
      </c>
      <c r="J174" s="67" t="s">
        <v>88</v>
      </c>
      <c r="K174" s="67" t="s">
        <v>125</v>
      </c>
      <c r="L174" s="68" t="s">
        <v>118</v>
      </c>
      <c r="M174" s="68">
        <f>--AND(Configuración!$B$6&lt;&gt;"",OR(E174="Todas",ISNUMBER(SEARCH(Configuración!$B$7,E174))),IF(L174="Monotributo",Configuración!$B$10="Sí",IF(L174="Autónomos",Configuración!$B$11="Sí",IF(L174="Responsable inscripto",Configuración!$B$12="Sí",IF(L174="Empleador",Configuración!$B$13="Sí",IF(L174="Casas particulares",Configuración!$B$14="Sí",IF(L174="Retenciones",Configuración!$B$15="Sí",IF(L174="Sociedad",Configuración!$B$16="Sí",IF(L174="Persona humana",Configuración!$B$17="Sí",IF(L174="Convenio Multilateral",Configuración!$B$18="Sí",FALSE()))))))))))</f>
        <v>0</v>
      </c>
      <c r="N174" s="68" t="str">
        <f>IF(M174=1,COUNTIF($M$2:M174,1),"")</f>
        <v/>
      </c>
      <c r="O174" s="50">
        <f t="shared" ca="1" si="8"/>
        <v>-62</v>
      </c>
      <c r="P174" s="17" t="str">
        <f t="shared" ca="1" si="9"/>
        <v>Vencido hace 62 días</v>
      </c>
      <c r="Q174" s="50">
        <f t="shared" si="10"/>
        <v>46191</v>
      </c>
      <c r="R174" s="17" t="str">
        <f>IF(M174=1,COUNTIFS($Q$2:Q174,Q174,$M$2:M174,1),"")</f>
        <v/>
      </c>
      <c r="S174" s="50" t="str">
        <f t="shared" si="11"/>
        <v/>
      </c>
    </row>
    <row r="175" spans="1:19" ht="45" customHeight="1" x14ac:dyDescent="0.35">
      <c r="A175" s="66">
        <v>46191.625</v>
      </c>
      <c r="B175" s="67" t="s">
        <v>105</v>
      </c>
      <c r="C175" s="67" t="s">
        <v>106</v>
      </c>
      <c r="D175" s="67" t="s">
        <v>107</v>
      </c>
      <c r="E175" s="67" t="s">
        <v>90</v>
      </c>
      <c r="F175" s="67" t="s">
        <v>141</v>
      </c>
      <c r="G175" s="67" t="s">
        <v>109</v>
      </c>
      <c r="H175" s="67" t="s">
        <v>87</v>
      </c>
      <c r="I175" s="67" t="s">
        <v>50</v>
      </c>
      <c r="J175" s="67" t="s">
        <v>110</v>
      </c>
      <c r="K175" s="67" t="s">
        <v>111</v>
      </c>
      <c r="L175" s="68" t="s">
        <v>112</v>
      </c>
      <c r="M175" s="68">
        <f>--AND(Configuración!$B$6&lt;&gt;"",OR(E175="Todas",ISNUMBER(SEARCH(Configuración!$B$7,E175))),IF(L175="Monotributo",Configuración!$B$10="Sí",IF(L175="Autónomos",Configuración!$B$11="Sí",IF(L175="Responsable inscripto",Configuración!$B$12="Sí",IF(L175="Empleador",Configuración!$B$13="Sí",IF(L175="Casas particulares",Configuración!$B$14="Sí",IF(L175="Retenciones",Configuración!$B$15="Sí",IF(L175="Sociedad",Configuración!$B$16="Sí",IF(L175="Persona humana",Configuración!$B$17="Sí",IF(L175="Convenio Multilateral",Configuración!$B$18="Sí",FALSE()))))))))))</f>
        <v>0</v>
      </c>
      <c r="N175" s="68" t="str">
        <f>IF(M175=1,COUNTIF($M$2:M175,1),"")</f>
        <v/>
      </c>
      <c r="O175" s="50">
        <f t="shared" ca="1" si="8"/>
        <v>-62</v>
      </c>
      <c r="P175" s="17" t="str">
        <f t="shared" ca="1" si="9"/>
        <v>Vencido hace 62 días</v>
      </c>
      <c r="Q175" s="50">
        <f t="shared" si="10"/>
        <v>46191</v>
      </c>
      <c r="R175" s="17" t="str">
        <f>IF(M175=1,COUNTIFS($Q$2:Q175,Q175,$M$2:M175,1),"")</f>
        <v/>
      </c>
      <c r="S175" s="50" t="str">
        <f t="shared" si="11"/>
        <v/>
      </c>
    </row>
    <row r="176" spans="1:19" ht="45" customHeight="1" x14ac:dyDescent="0.35">
      <c r="A176" s="66">
        <v>46191.625</v>
      </c>
      <c r="B176" s="67" t="s">
        <v>137</v>
      </c>
      <c r="C176" s="67" t="s">
        <v>138</v>
      </c>
      <c r="D176" s="67" t="s">
        <v>139</v>
      </c>
      <c r="E176" s="67" t="s">
        <v>146</v>
      </c>
      <c r="F176" s="67" t="s">
        <v>159</v>
      </c>
      <c r="G176" s="67" t="s">
        <v>94</v>
      </c>
      <c r="H176" s="67" t="s">
        <v>142</v>
      </c>
      <c r="I176" s="67" t="s">
        <v>50</v>
      </c>
      <c r="J176" s="67" t="s">
        <v>150</v>
      </c>
      <c r="K176" s="67" t="s">
        <v>151</v>
      </c>
      <c r="L176" s="68" t="s">
        <v>33</v>
      </c>
      <c r="M176" s="68">
        <f>--AND(Configuración!$B$6&lt;&gt;"",OR(E176="Todas",ISNUMBER(SEARCH(Configuración!$B$7,E176))),IF(L176="Monotributo",Configuración!$B$10="Sí",IF(L176="Autónomos",Configuración!$B$11="Sí",IF(L176="Responsable inscripto",Configuración!$B$12="Sí",IF(L176="Empleador",Configuración!$B$13="Sí",IF(L176="Casas particulares",Configuración!$B$14="Sí",IF(L176="Retenciones",Configuración!$B$15="Sí",IF(L176="Sociedad",Configuración!$B$16="Sí",IF(L176="Persona humana",Configuración!$B$17="Sí",IF(L176="Convenio Multilateral",Configuración!$B$18="Sí",FALSE()))))))))))</f>
        <v>0</v>
      </c>
      <c r="N176" s="68" t="str">
        <f>IF(M176=1,COUNTIF($M$2:M176,1),"")</f>
        <v/>
      </c>
      <c r="O176" s="50">
        <f t="shared" ca="1" si="8"/>
        <v>-62</v>
      </c>
      <c r="P176" s="17" t="str">
        <f t="shared" ca="1" si="9"/>
        <v>Vencido hace 62 días</v>
      </c>
      <c r="Q176" s="50">
        <f t="shared" si="10"/>
        <v>46191</v>
      </c>
      <c r="R176" s="17" t="str">
        <f>IF(M176=1,COUNTIFS($Q$2:Q176,Q176,$M$2:M176,1),"")</f>
        <v/>
      </c>
      <c r="S176" s="50" t="str">
        <f t="shared" si="11"/>
        <v/>
      </c>
    </row>
    <row r="177" spans="1:19" ht="45" customHeight="1" x14ac:dyDescent="0.35">
      <c r="A177" s="66">
        <v>46192</v>
      </c>
      <c r="B177" s="67" t="s">
        <v>115</v>
      </c>
      <c r="C177" s="67" t="s">
        <v>116</v>
      </c>
      <c r="D177" s="67" t="s">
        <v>117</v>
      </c>
      <c r="E177" s="67" t="s">
        <v>89</v>
      </c>
      <c r="F177" s="67" t="s">
        <v>158</v>
      </c>
      <c r="G177" s="67" t="s">
        <v>94</v>
      </c>
      <c r="H177" s="67" t="s">
        <v>87</v>
      </c>
      <c r="I177" s="67" t="s">
        <v>50</v>
      </c>
      <c r="J177" s="67" t="s">
        <v>88</v>
      </c>
      <c r="K177" s="67"/>
      <c r="L177" s="68" t="s">
        <v>118</v>
      </c>
      <c r="M177" s="68">
        <f>--AND(Configuración!$B$6&lt;&gt;"",OR(E177="Todas",ISNUMBER(SEARCH(Configuración!$B$7,E177))),IF(L177="Monotributo",Configuración!$B$10="Sí",IF(L177="Autónomos",Configuración!$B$11="Sí",IF(L177="Responsable inscripto",Configuración!$B$12="Sí",IF(L177="Empleador",Configuración!$B$13="Sí",IF(L177="Casas particulares",Configuración!$B$14="Sí",IF(L177="Retenciones",Configuración!$B$15="Sí",IF(L177="Sociedad",Configuración!$B$16="Sí",IF(L177="Persona humana",Configuración!$B$17="Sí",IF(L177="Convenio Multilateral",Configuración!$B$18="Sí",FALSE()))))))))))</f>
        <v>0</v>
      </c>
      <c r="N177" s="68" t="str">
        <f>IF(M177=1,COUNTIF($M$2:M177,1),"")</f>
        <v/>
      </c>
      <c r="O177" s="50">
        <f t="shared" ca="1" si="8"/>
        <v>-61</v>
      </c>
      <c r="P177" s="17" t="str">
        <f t="shared" ca="1" si="9"/>
        <v>Vencido hace 61 días</v>
      </c>
      <c r="Q177" s="50">
        <f t="shared" si="10"/>
        <v>46192</v>
      </c>
      <c r="R177" s="17" t="str">
        <f>IF(M177=1,COUNTIFS($Q$2:Q177,Q177,$M$2:M177,1),"")</f>
        <v/>
      </c>
      <c r="S177" s="50" t="str">
        <f t="shared" si="11"/>
        <v/>
      </c>
    </row>
    <row r="178" spans="1:19" ht="45" customHeight="1" x14ac:dyDescent="0.35">
      <c r="A178" s="66">
        <v>46192</v>
      </c>
      <c r="B178" s="67" t="s">
        <v>119</v>
      </c>
      <c r="C178" s="67" t="s">
        <v>120</v>
      </c>
      <c r="D178" s="67" t="s">
        <v>121</v>
      </c>
      <c r="E178" s="67" t="s">
        <v>89</v>
      </c>
      <c r="F178" s="67" t="s">
        <v>158</v>
      </c>
      <c r="G178" s="67" t="s">
        <v>94</v>
      </c>
      <c r="H178" s="67" t="s">
        <v>87</v>
      </c>
      <c r="I178" s="67" t="s">
        <v>50</v>
      </c>
      <c r="J178" s="67" t="s">
        <v>88</v>
      </c>
      <c r="K178" s="67"/>
      <c r="L178" s="68" t="s">
        <v>118</v>
      </c>
      <c r="M178" s="68">
        <f>--AND(Configuración!$B$6&lt;&gt;"",OR(E178="Todas",ISNUMBER(SEARCH(Configuración!$B$7,E178))),IF(L178="Monotributo",Configuración!$B$10="Sí",IF(L178="Autónomos",Configuración!$B$11="Sí",IF(L178="Responsable inscripto",Configuración!$B$12="Sí",IF(L178="Empleador",Configuración!$B$13="Sí",IF(L178="Casas particulares",Configuración!$B$14="Sí",IF(L178="Retenciones",Configuración!$B$15="Sí",IF(L178="Sociedad",Configuración!$B$16="Sí",IF(L178="Persona humana",Configuración!$B$17="Sí",IF(L178="Convenio Multilateral",Configuración!$B$18="Sí",FALSE()))))))))))</f>
        <v>0</v>
      </c>
      <c r="N178" s="68" t="str">
        <f>IF(M178=1,COUNTIF($M$2:M178,1),"")</f>
        <v/>
      </c>
      <c r="O178" s="50">
        <f t="shared" ca="1" si="8"/>
        <v>-61</v>
      </c>
      <c r="P178" s="17" t="str">
        <f t="shared" ca="1" si="9"/>
        <v>Vencido hace 61 días</v>
      </c>
      <c r="Q178" s="50">
        <f t="shared" si="10"/>
        <v>46192</v>
      </c>
      <c r="R178" s="17" t="str">
        <f>IF(M178=1,COUNTIFS($Q$2:Q178,Q178,$M$2:M178,1),"")</f>
        <v/>
      </c>
      <c r="S178" s="50" t="str">
        <f t="shared" si="11"/>
        <v/>
      </c>
    </row>
    <row r="179" spans="1:19" ht="45" customHeight="1" x14ac:dyDescent="0.35">
      <c r="A179" s="66">
        <v>46192</v>
      </c>
      <c r="B179" s="67" t="s">
        <v>122</v>
      </c>
      <c r="C179" s="67" t="s">
        <v>123</v>
      </c>
      <c r="D179" s="67" t="s">
        <v>124</v>
      </c>
      <c r="E179" s="67" t="s">
        <v>89</v>
      </c>
      <c r="F179" s="67" t="s">
        <v>158</v>
      </c>
      <c r="G179" s="67" t="s">
        <v>109</v>
      </c>
      <c r="H179" s="67" t="s">
        <v>87</v>
      </c>
      <c r="I179" s="67" t="s">
        <v>50</v>
      </c>
      <c r="J179" s="67" t="s">
        <v>88</v>
      </c>
      <c r="K179" s="67" t="s">
        <v>125</v>
      </c>
      <c r="L179" s="68" t="s">
        <v>118</v>
      </c>
      <c r="M179" s="68">
        <f>--AND(Configuración!$B$6&lt;&gt;"",OR(E179="Todas",ISNUMBER(SEARCH(Configuración!$B$7,E179))),IF(L179="Monotributo",Configuración!$B$10="Sí",IF(L179="Autónomos",Configuración!$B$11="Sí",IF(L179="Responsable inscripto",Configuración!$B$12="Sí",IF(L179="Empleador",Configuración!$B$13="Sí",IF(L179="Casas particulares",Configuración!$B$14="Sí",IF(L179="Retenciones",Configuración!$B$15="Sí",IF(L179="Sociedad",Configuración!$B$16="Sí",IF(L179="Persona humana",Configuración!$B$17="Sí",IF(L179="Convenio Multilateral",Configuración!$B$18="Sí",FALSE()))))))))))</f>
        <v>0</v>
      </c>
      <c r="N179" s="68" t="str">
        <f>IF(M179=1,COUNTIF($M$2:M179,1),"")</f>
        <v/>
      </c>
      <c r="O179" s="50">
        <f t="shared" ca="1" si="8"/>
        <v>-61</v>
      </c>
      <c r="P179" s="17" t="str">
        <f t="shared" ca="1" si="9"/>
        <v>Vencido hace 61 días</v>
      </c>
      <c r="Q179" s="50">
        <f t="shared" si="10"/>
        <v>46192</v>
      </c>
      <c r="R179" s="17" t="str">
        <f>IF(M179=1,COUNTIFS($Q$2:Q179,Q179,$M$2:M179,1),"")</f>
        <v/>
      </c>
      <c r="S179" s="50" t="str">
        <f t="shared" si="11"/>
        <v/>
      </c>
    </row>
    <row r="180" spans="1:19" ht="45" customHeight="1" x14ac:dyDescent="0.35">
      <c r="A180" s="66">
        <v>46192.625</v>
      </c>
      <c r="B180" s="67" t="s">
        <v>137</v>
      </c>
      <c r="C180" s="67" t="s">
        <v>138</v>
      </c>
      <c r="D180" s="67" t="s">
        <v>139</v>
      </c>
      <c r="E180" s="67" t="s">
        <v>147</v>
      </c>
      <c r="F180" s="67" t="s">
        <v>159</v>
      </c>
      <c r="G180" s="67" t="s">
        <v>94</v>
      </c>
      <c r="H180" s="67" t="s">
        <v>142</v>
      </c>
      <c r="I180" s="67" t="s">
        <v>50</v>
      </c>
      <c r="J180" s="67" t="s">
        <v>150</v>
      </c>
      <c r="K180" s="67" t="s">
        <v>151</v>
      </c>
      <c r="L180" s="68" t="s">
        <v>33</v>
      </c>
      <c r="M180" s="68">
        <f>--AND(Configuración!$B$6&lt;&gt;"",OR(E180="Todas",ISNUMBER(SEARCH(Configuración!$B$7,E180))),IF(L180="Monotributo",Configuración!$B$10="Sí",IF(L180="Autónomos",Configuración!$B$11="Sí",IF(L180="Responsable inscripto",Configuración!$B$12="Sí",IF(L180="Empleador",Configuración!$B$13="Sí",IF(L180="Casas particulares",Configuración!$B$14="Sí",IF(L180="Retenciones",Configuración!$B$15="Sí",IF(L180="Sociedad",Configuración!$B$16="Sí",IF(L180="Persona humana",Configuración!$B$17="Sí",IF(L180="Convenio Multilateral",Configuración!$B$18="Sí",FALSE()))))))))))</f>
        <v>0</v>
      </c>
      <c r="N180" s="68" t="str">
        <f>IF(M180=1,COUNTIF($M$2:M180,1),"")</f>
        <v/>
      </c>
      <c r="O180" s="50">
        <f t="shared" ca="1" si="8"/>
        <v>-61</v>
      </c>
      <c r="P180" s="17" t="str">
        <f t="shared" ca="1" si="9"/>
        <v>Vencido hace 61 días</v>
      </c>
      <c r="Q180" s="50">
        <f t="shared" si="10"/>
        <v>46192</v>
      </c>
      <c r="R180" s="17" t="str">
        <f>IF(M180=1,COUNTIFS($Q$2:Q180,Q180,$M$2:M180,1),"")</f>
        <v/>
      </c>
      <c r="S180" s="50" t="str">
        <f t="shared" si="11"/>
        <v/>
      </c>
    </row>
    <row r="181" spans="1:19" ht="45" customHeight="1" x14ac:dyDescent="0.35">
      <c r="A181" s="66">
        <v>46195</v>
      </c>
      <c r="B181" s="67" t="s">
        <v>115</v>
      </c>
      <c r="C181" s="67" t="s">
        <v>116</v>
      </c>
      <c r="D181" s="67" t="s">
        <v>117</v>
      </c>
      <c r="E181" s="67" t="s">
        <v>90</v>
      </c>
      <c r="F181" s="67" t="s">
        <v>158</v>
      </c>
      <c r="G181" s="67" t="s">
        <v>94</v>
      </c>
      <c r="H181" s="67" t="s">
        <v>87</v>
      </c>
      <c r="I181" s="67" t="s">
        <v>50</v>
      </c>
      <c r="J181" s="67" t="s">
        <v>88</v>
      </c>
      <c r="K181" s="67"/>
      <c r="L181" s="68" t="s">
        <v>118</v>
      </c>
      <c r="M181" s="68">
        <f>--AND(Configuración!$B$6&lt;&gt;"",OR(E181="Todas",ISNUMBER(SEARCH(Configuración!$B$7,E181))),IF(L181="Monotributo",Configuración!$B$10="Sí",IF(L181="Autónomos",Configuración!$B$11="Sí",IF(L181="Responsable inscripto",Configuración!$B$12="Sí",IF(L181="Empleador",Configuración!$B$13="Sí",IF(L181="Casas particulares",Configuración!$B$14="Sí",IF(L181="Retenciones",Configuración!$B$15="Sí",IF(L181="Sociedad",Configuración!$B$16="Sí",IF(L181="Persona humana",Configuración!$B$17="Sí",IF(L181="Convenio Multilateral",Configuración!$B$18="Sí",FALSE()))))))))))</f>
        <v>0</v>
      </c>
      <c r="N181" s="68" t="str">
        <f>IF(M181=1,COUNTIF($M$2:M181,1),"")</f>
        <v/>
      </c>
      <c r="O181" s="50">
        <f t="shared" ca="1" si="8"/>
        <v>-58</v>
      </c>
      <c r="P181" s="17" t="str">
        <f t="shared" ca="1" si="9"/>
        <v>Vencido hace 58 días</v>
      </c>
      <c r="Q181" s="50">
        <f t="shared" si="10"/>
        <v>46195</v>
      </c>
      <c r="R181" s="17" t="str">
        <f>IF(M181=1,COUNTIFS($Q$2:Q181,Q181,$M$2:M181,1),"")</f>
        <v/>
      </c>
      <c r="S181" s="50" t="str">
        <f t="shared" si="11"/>
        <v/>
      </c>
    </row>
    <row r="182" spans="1:19" ht="45" customHeight="1" x14ac:dyDescent="0.35">
      <c r="A182" s="66">
        <v>46195</v>
      </c>
      <c r="B182" s="67" t="s">
        <v>119</v>
      </c>
      <c r="C182" s="67" t="s">
        <v>120</v>
      </c>
      <c r="D182" s="67" t="s">
        <v>121</v>
      </c>
      <c r="E182" s="67" t="s">
        <v>90</v>
      </c>
      <c r="F182" s="67" t="s">
        <v>158</v>
      </c>
      <c r="G182" s="67" t="s">
        <v>94</v>
      </c>
      <c r="H182" s="67" t="s">
        <v>87</v>
      </c>
      <c r="I182" s="67" t="s">
        <v>50</v>
      </c>
      <c r="J182" s="67" t="s">
        <v>88</v>
      </c>
      <c r="K182" s="67"/>
      <c r="L182" s="68" t="s">
        <v>118</v>
      </c>
      <c r="M182" s="68">
        <f>--AND(Configuración!$B$6&lt;&gt;"",OR(E182="Todas",ISNUMBER(SEARCH(Configuración!$B$7,E182))),IF(L182="Monotributo",Configuración!$B$10="Sí",IF(L182="Autónomos",Configuración!$B$11="Sí",IF(L182="Responsable inscripto",Configuración!$B$12="Sí",IF(L182="Empleador",Configuración!$B$13="Sí",IF(L182="Casas particulares",Configuración!$B$14="Sí",IF(L182="Retenciones",Configuración!$B$15="Sí",IF(L182="Sociedad",Configuración!$B$16="Sí",IF(L182="Persona humana",Configuración!$B$17="Sí",IF(L182="Convenio Multilateral",Configuración!$B$18="Sí",FALSE()))))))))))</f>
        <v>0</v>
      </c>
      <c r="N182" s="68" t="str">
        <f>IF(M182=1,COUNTIF($M$2:M182,1),"")</f>
        <v/>
      </c>
      <c r="O182" s="50">
        <f t="shared" ca="1" si="8"/>
        <v>-58</v>
      </c>
      <c r="P182" s="17" t="str">
        <f t="shared" ca="1" si="9"/>
        <v>Vencido hace 58 días</v>
      </c>
      <c r="Q182" s="50">
        <f t="shared" si="10"/>
        <v>46195</v>
      </c>
      <c r="R182" s="17" t="str">
        <f>IF(M182=1,COUNTIFS($Q$2:Q182,Q182,$M$2:M182,1),"")</f>
        <v/>
      </c>
      <c r="S182" s="50" t="str">
        <f t="shared" si="11"/>
        <v/>
      </c>
    </row>
    <row r="183" spans="1:19" ht="45" customHeight="1" x14ac:dyDescent="0.35">
      <c r="A183" s="66">
        <v>46195</v>
      </c>
      <c r="B183" s="67" t="s">
        <v>122</v>
      </c>
      <c r="C183" s="67" t="s">
        <v>123</v>
      </c>
      <c r="D183" s="67" t="s">
        <v>124</v>
      </c>
      <c r="E183" s="67" t="s">
        <v>90</v>
      </c>
      <c r="F183" s="67" t="s">
        <v>158</v>
      </c>
      <c r="G183" s="67" t="s">
        <v>109</v>
      </c>
      <c r="H183" s="67" t="s">
        <v>87</v>
      </c>
      <c r="I183" s="67" t="s">
        <v>50</v>
      </c>
      <c r="J183" s="67" t="s">
        <v>88</v>
      </c>
      <c r="K183" s="67" t="s">
        <v>125</v>
      </c>
      <c r="L183" s="68" t="s">
        <v>118</v>
      </c>
      <c r="M183" s="68">
        <f>--AND(Configuración!$B$6&lt;&gt;"",OR(E183="Todas",ISNUMBER(SEARCH(Configuración!$B$7,E183))),IF(L183="Monotributo",Configuración!$B$10="Sí",IF(L183="Autónomos",Configuración!$B$11="Sí",IF(L183="Responsable inscripto",Configuración!$B$12="Sí",IF(L183="Empleador",Configuración!$B$13="Sí",IF(L183="Casas particulares",Configuración!$B$14="Sí",IF(L183="Retenciones",Configuración!$B$15="Sí",IF(L183="Sociedad",Configuración!$B$16="Sí",IF(L183="Persona humana",Configuración!$B$17="Sí",IF(L183="Convenio Multilateral",Configuración!$B$18="Sí",FALSE()))))))))))</f>
        <v>0</v>
      </c>
      <c r="N183" s="68" t="str">
        <f>IF(M183=1,COUNTIF($M$2:M183,1),"")</f>
        <v/>
      </c>
      <c r="O183" s="50">
        <f t="shared" ca="1" si="8"/>
        <v>-58</v>
      </c>
      <c r="P183" s="17" t="str">
        <f t="shared" ca="1" si="9"/>
        <v>Vencido hace 58 días</v>
      </c>
      <c r="Q183" s="50">
        <f t="shared" si="10"/>
        <v>46195</v>
      </c>
      <c r="R183" s="17" t="str">
        <f>IF(M183=1,COUNTIFS($Q$2:Q183,Q183,$M$2:M183,1),"")</f>
        <v/>
      </c>
      <c r="S183" s="50" t="str">
        <f t="shared" si="11"/>
        <v/>
      </c>
    </row>
    <row r="184" spans="1:19" ht="30" customHeight="1" x14ac:dyDescent="0.35">
      <c r="A184" s="66">
        <v>46195</v>
      </c>
      <c r="B184" s="67" t="s">
        <v>24</v>
      </c>
      <c r="C184" s="67" t="s">
        <v>126</v>
      </c>
      <c r="D184" s="67" t="s">
        <v>127</v>
      </c>
      <c r="E184" s="67" t="s">
        <v>104</v>
      </c>
      <c r="F184" s="67" t="s">
        <v>160</v>
      </c>
      <c r="G184" s="67" t="s">
        <v>86</v>
      </c>
      <c r="H184" s="67" t="s">
        <v>87</v>
      </c>
      <c r="I184" s="67" t="s">
        <v>50</v>
      </c>
      <c r="J184" s="67" t="s">
        <v>129</v>
      </c>
      <c r="K184" s="67" t="s">
        <v>130</v>
      </c>
      <c r="L184" s="68" t="s">
        <v>24</v>
      </c>
      <c r="M184" s="68">
        <f>--AND(Configuración!$B$6&lt;&gt;"",OR(E184="Todas",ISNUMBER(SEARCH(Configuración!$B$7,E184))),IF(L184="Monotributo",Configuración!$B$10="Sí",IF(L184="Autónomos",Configuración!$B$11="Sí",IF(L184="Responsable inscripto",Configuración!$B$12="Sí",IF(L184="Empleador",Configuración!$B$13="Sí",IF(L184="Casas particulares",Configuración!$B$14="Sí",IF(L184="Retenciones",Configuración!$B$15="Sí",IF(L184="Sociedad",Configuración!$B$16="Sí",IF(L184="Persona humana",Configuración!$B$17="Sí",IF(L184="Convenio Multilateral",Configuración!$B$18="Sí",FALSE()))))))))))</f>
        <v>0</v>
      </c>
      <c r="N184" s="68" t="str">
        <f>IF(M184=1,COUNTIF($M$2:M184,1),"")</f>
        <v/>
      </c>
      <c r="O184" s="50">
        <f t="shared" ca="1" si="8"/>
        <v>-58</v>
      </c>
      <c r="P184" s="17" t="str">
        <f t="shared" ca="1" si="9"/>
        <v>Vencido hace 58 días</v>
      </c>
      <c r="Q184" s="50">
        <f t="shared" si="10"/>
        <v>46195</v>
      </c>
      <c r="R184" s="17" t="str">
        <f>IF(M184=1,COUNTIFS($Q$2:Q184,Q184,$M$2:M184,1),"")</f>
        <v/>
      </c>
      <c r="S184" s="50" t="str">
        <f t="shared" si="11"/>
        <v/>
      </c>
    </row>
    <row r="185" spans="1:19" ht="45" customHeight="1" x14ac:dyDescent="0.35">
      <c r="A185" s="66">
        <v>46203</v>
      </c>
      <c r="B185" s="67" t="s">
        <v>137</v>
      </c>
      <c r="C185" s="67" t="s">
        <v>161</v>
      </c>
      <c r="D185" s="67" t="s">
        <v>139</v>
      </c>
      <c r="E185" s="67" t="s">
        <v>104</v>
      </c>
      <c r="F185" s="67" t="s">
        <v>162</v>
      </c>
      <c r="G185" s="67" t="s">
        <v>109</v>
      </c>
      <c r="H185" s="67" t="s">
        <v>142</v>
      </c>
      <c r="I185" s="67" t="s">
        <v>50</v>
      </c>
      <c r="J185" s="67" t="s">
        <v>150</v>
      </c>
      <c r="K185" s="67" t="s">
        <v>163</v>
      </c>
      <c r="L185" s="68" t="s">
        <v>33</v>
      </c>
      <c r="M185" s="68">
        <f>--AND(Configuración!$B$6&lt;&gt;"",OR(E185="Todas",ISNUMBER(SEARCH(Configuración!$B$7,E185))),IF(L185="Monotributo",Configuración!$B$10="Sí",IF(L185="Autónomos",Configuración!$B$11="Sí",IF(L185="Responsable inscripto",Configuración!$B$12="Sí",IF(L185="Empleador",Configuración!$B$13="Sí",IF(L185="Casas particulares",Configuración!$B$14="Sí",IF(L185="Retenciones",Configuración!$B$15="Sí",IF(L185="Sociedad",Configuración!$B$16="Sí",IF(L185="Persona humana",Configuración!$B$17="Sí",IF(L185="Convenio Multilateral",Configuración!$B$18="Sí",FALSE()))))))))))</f>
        <v>0</v>
      </c>
      <c r="N185" s="68" t="str">
        <f>IF(M185=1,COUNTIF($M$2:M185,1),"")</f>
        <v/>
      </c>
      <c r="O185" s="50">
        <f t="shared" ca="1" si="8"/>
        <v>-50</v>
      </c>
      <c r="P185" s="17" t="str">
        <f t="shared" ca="1" si="9"/>
        <v>Vencido hace 50 días</v>
      </c>
      <c r="Q185" s="50">
        <f t="shared" si="10"/>
        <v>46203</v>
      </c>
      <c r="R185" s="17" t="str">
        <f>IF(M185=1,COUNTIFS($Q$2:Q185,Q185,$M$2:M185,1),"")</f>
        <v/>
      </c>
      <c r="S185" s="50" t="str">
        <f t="shared" si="11"/>
        <v/>
      </c>
    </row>
    <row r="186" spans="1:19" ht="45" customHeight="1" x14ac:dyDescent="0.35">
      <c r="A186" s="66">
        <v>46206</v>
      </c>
      <c r="B186" s="67" t="s">
        <v>26</v>
      </c>
      <c r="C186" s="67" t="s">
        <v>82</v>
      </c>
      <c r="D186" s="67" t="s">
        <v>83</v>
      </c>
      <c r="E186" s="67" t="s">
        <v>84</v>
      </c>
      <c r="F186" s="67" t="s">
        <v>160</v>
      </c>
      <c r="G186" s="67" t="s">
        <v>86</v>
      </c>
      <c r="H186" s="67" t="s">
        <v>87</v>
      </c>
      <c r="I186" s="67" t="s">
        <v>50</v>
      </c>
      <c r="J186" s="67" t="s">
        <v>88</v>
      </c>
      <c r="K186" s="67"/>
      <c r="L186" s="68" t="s">
        <v>26</v>
      </c>
      <c r="M186" s="68">
        <f>--AND(Configuración!$B$6&lt;&gt;"",OR(E186="Todas",ISNUMBER(SEARCH(Configuración!$B$7,E186))),IF(L186="Monotributo",Configuración!$B$10="Sí",IF(L186="Autónomos",Configuración!$B$11="Sí",IF(L186="Responsable inscripto",Configuración!$B$12="Sí",IF(L186="Empleador",Configuración!$B$13="Sí",IF(L186="Casas particulares",Configuración!$B$14="Sí",IF(L186="Retenciones",Configuración!$B$15="Sí",IF(L186="Sociedad",Configuración!$B$16="Sí",IF(L186="Persona humana",Configuración!$B$17="Sí",IF(L186="Convenio Multilateral",Configuración!$B$18="Sí",FALSE()))))))))))</f>
        <v>0</v>
      </c>
      <c r="N186" s="68" t="str">
        <f>IF(M186=1,COUNTIF($M$2:M186,1),"")</f>
        <v/>
      </c>
      <c r="O186" s="50">
        <f t="shared" ca="1" si="8"/>
        <v>-47</v>
      </c>
      <c r="P186" s="17" t="str">
        <f t="shared" ca="1" si="9"/>
        <v>Vencido hace 47 días</v>
      </c>
      <c r="Q186" s="50">
        <f t="shared" si="10"/>
        <v>46206</v>
      </c>
      <c r="R186" s="17" t="str">
        <f>IF(M186=1,COUNTIFS($Q$2:Q186,Q186,$M$2:M186,1),"")</f>
        <v/>
      </c>
      <c r="S186" s="50" t="str">
        <f t="shared" si="11"/>
        <v/>
      </c>
    </row>
    <row r="187" spans="1:19" ht="45" customHeight="1" x14ac:dyDescent="0.35">
      <c r="A187" s="66">
        <v>46209</v>
      </c>
      <c r="B187" s="67" t="s">
        <v>26</v>
      </c>
      <c r="C187" s="67" t="s">
        <v>82</v>
      </c>
      <c r="D187" s="67" t="s">
        <v>83</v>
      </c>
      <c r="E187" s="67" t="s">
        <v>89</v>
      </c>
      <c r="F187" s="67" t="s">
        <v>160</v>
      </c>
      <c r="G187" s="67" t="s">
        <v>86</v>
      </c>
      <c r="H187" s="67" t="s">
        <v>87</v>
      </c>
      <c r="I187" s="67" t="s">
        <v>50</v>
      </c>
      <c r="J187" s="67" t="s">
        <v>88</v>
      </c>
      <c r="K187" s="67"/>
      <c r="L187" s="68" t="s">
        <v>26</v>
      </c>
      <c r="M187" s="68">
        <f>--AND(Configuración!$B$6&lt;&gt;"",OR(E187="Todas",ISNUMBER(SEARCH(Configuración!$B$7,E187))),IF(L187="Monotributo",Configuración!$B$10="Sí",IF(L187="Autónomos",Configuración!$B$11="Sí",IF(L187="Responsable inscripto",Configuración!$B$12="Sí",IF(L187="Empleador",Configuración!$B$13="Sí",IF(L187="Casas particulares",Configuración!$B$14="Sí",IF(L187="Retenciones",Configuración!$B$15="Sí",IF(L187="Sociedad",Configuración!$B$16="Sí",IF(L187="Persona humana",Configuración!$B$17="Sí",IF(L187="Convenio Multilateral",Configuración!$B$18="Sí",FALSE()))))))))))</f>
        <v>0</v>
      </c>
      <c r="N187" s="68" t="str">
        <f>IF(M187=1,COUNTIF($M$2:M187,1),"")</f>
        <v/>
      </c>
      <c r="O187" s="50">
        <f t="shared" ca="1" si="8"/>
        <v>-44</v>
      </c>
      <c r="P187" s="17" t="str">
        <f t="shared" ca="1" si="9"/>
        <v>Vencido hace 44 días</v>
      </c>
      <c r="Q187" s="50">
        <f t="shared" si="10"/>
        <v>46209</v>
      </c>
      <c r="R187" s="17" t="str">
        <f>IF(M187=1,COUNTIFS($Q$2:Q187,Q187,$M$2:M187,1),"")</f>
        <v/>
      </c>
      <c r="S187" s="50" t="str">
        <f t="shared" si="11"/>
        <v/>
      </c>
    </row>
    <row r="188" spans="1:19" ht="45" customHeight="1" x14ac:dyDescent="0.35">
      <c r="A188" s="66">
        <v>46209</v>
      </c>
      <c r="B188" s="67" t="s">
        <v>26</v>
      </c>
      <c r="C188" s="67" t="s">
        <v>82</v>
      </c>
      <c r="D188" s="67" t="s">
        <v>83</v>
      </c>
      <c r="E188" s="67" t="s">
        <v>90</v>
      </c>
      <c r="F188" s="67" t="s">
        <v>160</v>
      </c>
      <c r="G188" s="67" t="s">
        <v>86</v>
      </c>
      <c r="H188" s="67" t="s">
        <v>87</v>
      </c>
      <c r="I188" s="67" t="s">
        <v>50</v>
      </c>
      <c r="J188" s="67" t="s">
        <v>88</v>
      </c>
      <c r="K188" s="67"/>
      <c r="L188" s="68" t="s">
        <v>26</v>
      </c>
      <c r="M188" s="68">
        <f>--AND(Configuración!$B$6&lt;&gt;"",OR(E188="Todas",ISNUMBER(SEARCH(Configuración!$B$7,E188))),IF(L188="Monotributo",Configuración!$B$10="Sí",IF(L188="Autónomos",Configuración!$B$11="Sí",IF(L188="Responsable inscripto",Configuración!$B$12="Sí",IF(L188="Empleador",Configuración!$B$13="Sí",IF(L188="Casas particulares",Configuración!$B$14="Sí",IF(L188="Retenciones",Configuración!$B$15="Sí",IF(L188="Sociedad",Configuración!$B$16="Sí",IF(L188="Persona humana",Configuración!$B$17="Sí",IF(L188="Convenio Multilateral",Configuración!$B$18="Sí",FALSE()))))))))))</f>
        <v>0</v>
      </c>
      <c r="N188" s="68" t="str">
        <f>IF(M188=1,COUNTIF($M$2:M188,1),"")</f>
        <v/>
      </c>
      <c r="O188" s="50">
        <f t="shared" ca="1" si="8"/>
        <v>-44</v>
      </c>
      <c r="P188" s="17" t="str">
        <f t="shared" ca="1" si="9"/>
        <v>Vencido hace 44 días</v>
      </c>
      <c r="Q188" s="50">
        <f t="shared" si="10"/>
        <v>46209</v>
      </c>
      <c r="R188" s="17" t="str">
        <f>IF(M188=1,COUNTIFS($Q$2:Q188,Q188,$M$2:M188,1),"")</f>
        <v/>
      </c>
      <c r="S188" s="50" t="str">
        <f t="shared" si="11"/>
        <v/>
      </c>
    </row>
    <row r="189" spans="1:19" ht="45" customHeight="1" x14ac:dyDescent="0.35">
      <c r="A189" s="66">
        <v>46209</v>
      </c>
      <c r="B189" s="67" t="s">
        <v>91</v>
      </c>
      <c r="C189" s="67" t="s">
        <v>92</v>
      </c>
      <c r="D189" s="67" t="s">
        <v>93</v>
      </c>
      <c r="E189" s="67" t="s">
        <v>84</v>
      </c>
      <c r="F189" s="67" t="s">
        <v>160</v>
      </c>
      <c r="G189" s="67" t="s">
        <v>94</v>
      </c>
      <c r="H189" s="67" t="s">
        <v>87</v>
      </c>
      <c r="I189" s="67" t="s">
        <v>50</v>
      </c>
      <c r="J189" s="67" t="s">
        <v>88</v>
      </c>
      <c r="K189" s="67"/>
      <c r="L189" s="68" t="s">
        <v>95</v>
      </c>
      <c r="M189" s="68">
        <f>--AND(Configuración!$B$6&lt;&gt;"",OR(E189="Todas",ISNUMBER(SEARCH(Configuración!$B$7,E189))),IF(L189="Monotributo",Configuración!$B$10="Sí",IF(L189="Autónomos",Configuración!$B$11="Sí",IF(L189="Responsable inscripto",Configuración!$B$12="Sí",IF(L189="Empleador",Configuración!$B$13="Sí",IF(L189="Casas particulares",Configuración!$B$14="Sí",IF(L189="Retenciones",Configuración!$B$15="Sí",IF(L189="Sociedad",Configuración!$B$16="Sí",IF(L189="Persona humana",Configuración!$B$17="Sí",IF(L189="Convenio Multilateral",Configuración!$B$18="Sí",FALSE()))))))))))</f>
        <v>0</v>
      </c>
      <c r="N189" s="68" t="str">
        <f>IF(M189=1,COUNTIF($M$2:M189,1),"")</f>
        <v/>
      </c>
      <c r="O189" s="50">
        <f t="shared" ca="1" si="8"/>
        <v>-44</v>
      </c>
      <c r="P189" s="17" t="str">
        <f t="shared" ca="1" si="9"/>
        <v>Vencido hace 44 días</v>
      </c>
      <c r="Q189" s="50">
        <f t="shared" si="10"/>
        <v>46209</v>
      </c>
      <c r="R189" s="17" t="str">
        <f>IF(M189=1,COUNTIFS($Q$2:Q189,Q189,$M$2:M189,1),"")</f>
        <v/>
      </c>
      <c r="S189" s="50" t="str">
        <f t="shared" si="11"/>
        <v/>
      </c>
    </row>
    <row r="190" spans="1:19" ht="45" customHeight="1" x14ac:dyDescent="0.35">
      <c r="A190" s="66">
        <v>46209</v>
      </c>
      <c r="B190" s="67" t="s">
        <v>91</v>
      </c>
      <c r="C190" s="67" t="s">
        <v>92</v>
      </c>
      <c r="D190" s="67" t="s">
        <v>93</v>
      </c>
      <c r="E190" s="67" t="s">
        <v>89</v>
      </c>
      <c r="F190" s="67" t="s">
        <v>160</v>
      </c>
      <c r="G190" s="67" t="s">
        <v>94</v>
      </c>
      <c r="H190" s="67" t="s">
        <v>87</v>
      </c>
      <c r="I190" s="67" t="s">
        <v>50</v>
      </c>
      <c r="J190" s="67" t="s">
        <v>88</v>
      </c>
      <c r="K190" s="67"/>
      <c r="L190" s="68" t="s">
        <v>95</v>
      </c>
      <c r="M190" s="68">
        <f>--AND(Configuración!$B$6&lt;&gt;"",OR(E190="Todas",ISNUMBER(SEARCH(Configuración!$B$7,E190))),IF(L190="Monotributo",Configuración!$B$10="Sí",IF(L190="Autónomos",Configuración!$B$11="Sí",IF(L190="Responsable inscripto",Configuración!$B$12="Sí",IF(L190="Empleador",Configuración!$B$13="Sí",IF(L190="Casas particulares",Configuración!$B$14="Sí",IF(L190="Retenciones",Configuración!$B$15="Sí",IF(L190="Sociedad",Configuración!$B$16="Sí",IF(L190="Persona humana",Configuración!$B$17="Sí",IF(L190="Convenio Multilateral",Configuración!$B$18="Sí",FALSE()))))))))))</f>
        <v>0</v>
      </c>
      <c r="N190" s="68" t="str">
        <f>IF(M190=1,COUNTIF($M$2:M190,1),"")</f>
        <v/>
      </c>
      <c r="O190" s="50">
        <f t="shared" ca="1" si="8"/>
        <v>-44</v>
      </c>
      <c r="P190" s="17" t="str">
        <f t="shared" ca="1" si="9"/>
        <v>Vencido hace 44 días</v>
      </c>
      <c r="Q190" s="50">
        <f t="shared" si="10"/>
        <v>46209</v>
      </c>
      <c r="R190" s="17" t="str">
        <f>IF(M190=1,COUNTIFS($Q$2:Q190,Q190,$M$2:M190,1),"")</f>
        <v/>
      </c>
      <c r="S190" s="50" t="str">
        <f t="shared" si="11"/>
        <v/>
      </c>
    </row>
    <row r="191" spans="1:19" ht="45" customHeight="1" x14ac:dyDescent="0.35">
      <c r="A191" s="66">
        <v>46209</v>
      </c>
      <c r="B191" s="67" t="s">
        <v>91</v>
      </c>
      <c r="C191" s="67" t="s">
        <v>92</v>
      </c>
      <c r="D191" s="67" t="s">
        <v>93</v>
      </c>
      <c r="E191" s="67" t="s">
        <v>90</v>
      </c>
      <c r="F191" s="67" t="s">
        <v>160</v>
      </c>
      <c r="G191" s="67" t="s">
        <v>94</v>
      </c>
      <c r="H191" s="67" t="s">
        <v>87</v>
      </c>
      <c r="I191" s="67" t="s">
        <v>50</v>
      </c>
      <c r="J191" s="67" t="s">
        <v>88</v>
      </c>
      <c r="K191" s="67"/>
      <c r="L191" s="68" t="s">
        <v>95</v>
      </c>
      <c r="M191" s="68">
        <f>--AND(Configuración!$B$6&lt;&gt;"",OR(E191="Todas",ISNUMBER(SEARCH(Configuración!$B$7,E191))),IF(L191="Monotributo",Configuración!$B$10="Sí",IF(L191="Autónomos",Configuración!$B$11="Sí",IF(L191="Responsable inscripto",Configuración!$B$12="Sí",IF(L191="Empleador",Configuración!$B$13="Sí",IF(L191="Casas particulares",Configuración!$B$14="Sí",IF(L191="Retenciones",Configuración!$B$15="Sí",IF(L191="Sociedad",Configuración!$B$16="Sí",IF(L191="Persona humana",Configuración!$B$17="Sí",IF(L191="Convenio Multilateral",Configuración!$B$18="Sí",FALSE()))))))))))</f>
        <v>0</v>
      </c>
      <c r="N191" s="68" t="str">
        <f>IF(M191=1,COUNTIF($M$2:M191,1),"")</f>
        <v/>
      </c>
      <c r="O191" s="50">
        <f t="shared" ca="1" si="8"/>
        <v>-44</v>
      </c>
      <c r="P191" s="17" t="str">
        <f t="shared" ca="1" si="9"/>
        <v>Vencido hace 44 días</v>
      </c>
      <c r="Q191" s="50">
        <f t="shared" si="10"/>
        <v>46209</v>
      </c>
      <c r="R191" s="17" t="str">
        <f>IF(M191=1,COUNTIFS($Q$2:Q191,Q191,$M$2:M191,1),"")</f>
        <v/>
      </c>
      <c r="S191" s="50" t="str">
        <f t="shared" si="11"/>
        <v/>
      </c>
    </row>
    <row r="192" spans="1:19" ht="45" customHeight="1" x14ac:dyDescent="0.35">
      <c r="A192" s="66">
        <v>46210</v>
      </c>
      <c r="B192" s="67" t="s">
        <v>96</v>
      </c>
      <c r="C192" s="67" t="s">
        <v>97</v>
      </c>
      <c r="D192" s="67" t="s">
        <v>98</v>
      </c>
      <c r="E192" s="67" t="s">
        <v>84</v>
      </c>
      <c r="F192" s="67" t="s">
        <v>160</v>
      </c>
      <c r="G192" s="67" t="s">
        <v>94</v>
      </c>
      <c r="H192" s="67" t="s">
        <v>87</v>
      </c>
      <c r="I192" s="67" t="s">
        <v>50</v>
      </c>
      <c r="J192" s="67" t="s">
        <v>88</v>
      </c>
      <c r="K192" s="67"/>
      <c r="L192" s="68" t="s">
        <v>99</v>
      </c>
      <c r="M192" s="68">
        <f>--AND(Configuración!$B$6&lt;&gt;"",OR(E192="Todas",ISNUMBER(SEARCH(Configuración!$B$7,E192))),IF(L192="Monotributo",Configuración!$B$10="Sí",IF(L192="Autónomos",Configuración!$B$11="Sí",IF(L192="Responsable inscripto",Configuración!$B$12="Sí",IF(L192="Empleador",Configuración!$B$13="Sí",IF(L192="Casas particulares",Configuración!$B$14="Sí",IF(L192="Retenciones",Configuración!$B$15="Sí",IF(L192="Sociedad",Configuración!$B$16="Sí",IF(L192="Persona humana",Configuración!$B$17="Sí",IF(L192="Convenio Multilateral",Configuración!$B$18="Sí",FALSE()))))))))))</f>
        <v>0</v>
      </c>
      <c r="N192" s="68" t="str">
        <f>IF(M192=1,COUNTIF($M$2:M192,1),"")</f>
        <v/>
      </c>
      <c r="O192" s="50">
        <f t="shared" ca="1" si="8"/>
        <v>-43</v>
      </c>
      <c r="P192" s="17" t="str">
        <f t="shared" ca="1" si="9"/>
        <v>Vencido hace 43 días</v>
      </c>
      <c r="Q192" s="50">
        <f t="shared" si="10"/>
        <v>46210</v>
      </c>
      <c r="R192" s="17" t="str">
        <f>IF(M192=1,COUNTIFS($Q$2:Q192,Q192,$M$2:M192,1),"")</f>
        <v/>
      </c>
      <c r="S192" s="50" t="str">
        <f t="shared" si="11"/>
        <v/>
      </c>
    </row>
    <row r="193" spans="1:19" ht="45" customHeight="1" x14ac:dyDescent="0.35">
      <c r="A193" s="66">
        <v>46211</v>
      </c>
      <c r="B193" s="67" t="s">
        <v>96</v>
      </c>
      <c r="C193" s="67" t="s">
        <v>97</v>
      </c>
      <c r="D193" s="67" t="s">
        <v>98</v>
      </c>
      <c r="E193" s="67" t="s">
        <v>89</v>
      </c>
      <c r="F193" s="67" t="s">
        <v>160</v>
      </c>
      <c r="G193" s="67" t="s">
        <v>94</v>
      </c>
      <c r="H193" s="67" t="s">
        <v>87</v>
      </c>
      <c r="I193" s="67" t="s">
        <v>50</v>
      </c>
      <c r="J193" s="67" t="s">
        <v>88</v>
      </c>
      <c r="K193" s="67"/>
      <c r="L193" s="68" t="s">
        <v>99</v>
      </c>
      <c r="M193" s="68">
        <f>--AND(Configuración!$B$6&lt;&gt;"",OR(E193="Todas",ISNUMBER(SEARCH(Configuración!$B$7,E193))),IF(L193="Monotributo",Configuración!$B$10="Sí",IF(L193="Autónomos",Configuración!$B$11="Sí",IF(L193="Responsable inscripto",Configuración!$B$12="Sí",IF(L193="Empleador",Configuración!$B$13="Sí",IF(L193="Casas particulares",Configuración!$B$14="Sí",IF(L193="Retenciones",Configuración!$B$15="Sí",IF(L193="Sociedad",Configuración!$B$16="Sí",IF(L193="Persona humana",Configuración!$B$17="Sí",IF(L193="Convenio Multilateral",Configuración!$B$18="Sí",FALSE()))))))))))</f>
        <v>0</v>
      </c>
      <c r="N193" s="68" t="str">
        <f>IF(M193=1,COUNTIF($M$2:M193,1),"")</f>
        <v/>
      </c>
      <c r="O193" s="50">
        <f t="shared" ca="1" si="8"/>
        <v>-42</v>
      </c>
      <c r="P193" s="17" t="str">
        <f t="shared" ca="1" si="9"/>
        <v>Vencido hace 42 días</v>
      </c>
      <c r="Q193" s="50">
        <f t="shared" si="10"/>
        <v>46211</v>
      </c>
      <c r="R193" s="17" t="str">
        <f>IF(M193=1,COUNTIFS($Q$2:Q193,Q193,$M$2:M193,1),"")</f>
        <v/>
      </c>
      <c r="S193" s="50" t="str">
        <f t="shared" si="11"/>
        <v/>
      </c>
    </row>
    <row r="194" spans="1:19" ht="45" customHeight="1" x14ac:dyDescent="0.35">
      <c r="A194" s="66">
        <v>46213</v>
      </c>
      <c r="B194" s="67" t="s">
        <v>29</v>
      </c>
      <c r="C194" s="67" t="s">
        <v>102</v>
      </c>
      <c r="D194" s="67" t="s">
        <v>103</v>
      </c>
      <c r="E194" s="67" t="s">
        <v>104</v>
      </c>
      <c r="F194" s="67" t="s">
        <v>160</v>
      </c>
      <c r="G194" s="67" t="s">
        <v>86</v>
      </c>
      <c r="H194" s="67" t="s">
        <v>87</v>
      </c>
      <c r="I194" s="67" t="s">
        <v>50</v>
      </c>
      <c r="J194" s="67" t="s">
        <v>88</v>
      </c>
      <c r="K194" s="67"/>
      <c r="L194" s="68" t="s">
        <v>29</v>
      </c>
      <c r="M194" s="68">
        <f>--AND(Configuración!$B$6&lt;&gt;"",OR(E194="Todas",ISNUMBER(SEARCH(Configuración!$B$7,E194))),IF(L194="Monotributo",Configuración!$B$10="Sí",IF(L194="Autónomos",Configuración!$B$11="Sí",IF(L194="Responsable inscripto",Configuración!$B$12="Sí",IF(L194="Empleador",Configuración!$B$13="Sí",IF(L194="Casas particulares",Configuración!$B$14="Sí",IF(L194="Retenciones",Configuración!$B$15="Sí",IF(L194="Sociedad",Configuración!$B$16="Sí",IF(L194="Persona humana",Configuración!$B$17="Sí",IF(L194="Convenio Multilateral",Configuración!$B$18="Sí",FALSE()))))))))))</f>
        <v>0</v>
      </c>
      <c r="N194" s="68" t="str">
        <f>IF(M194=1,COUNTIF($M$2:M194,1),"")</f>
        <v/>
      </c>
      <c r="O194" s="50">
        <f t="shared" ref="O194:O257" ca="1" si="12">IFERROR(INT(A194)-TODAY(),"")</f>
        <v>-40</v>
      </c>
      <c r="P194" s="17" t="str">
        <f t="shared" ref="P194:P257" ca="1" si="13">IF(A194="","",IF(O194&lt;0,"Vencido hace "&amp;-O194&amp;IF(O194=-1," día"," días"),IF(O194=0,"Vence hoy",IF(O194=1,"Vence mañana","Faltan "&amp;O194&amp;" días"))))</f>
        <v>Vencido hace 40 días</v>
      </c>
      <c r="Q194" s="50">
        <f t="shared" ref="Q194:Q257" si="14">IF(A194="","",INT(A194))</f>
        <v>46213</v>
      </c>
      <c r="R194" s="17" t="str">
        <f>IF(M194=1,COUNTIFS($Q$2:Q194,Q194,$M$2:M194,1),"")</f>
        <v/>
      </c>
      <c r="S194" s="50" t="str">
        <f t="shared" ref="S194:S257" si="15">IF(M194=1,Q194*10+R194,"")</f>
        <v/>
      </c>
    </row>
    <row r="195" spans="1:19" ht="45" customHeight="1" x14ac:dyDescent="0.35">
      <c r="A195" s="66">
        <v>46213</v>
      </c>
      <c r="B195" s="67" t="s">
        <v>96</v>
      </c>
      <c r="C195" s="67" t="s">
        <v>97</v>
      </c>
      <c r="D195" s="67" t="s">
        <v>98</v>
      </c>
      <c r="E195" s="67" t="s">
        <v>90</v>
      </c>
      <c r="F195" s="67" t="s">
        <v>160</v>
      </c>
      <c r="G195" s="67" t="s">
        <v>94</v>
      </c>
      <c r="H195" s="67" t="s">
        <v>87</v>
      </c>
      <c r="I195" s="67" t="s">
        <v>50</v>
      </c>
      <c r="J195" s="67" t="s">
        <v>88</v>
      </c>
      <c r="K195" s="67"/>
      <c r="L195" s="68" t="s">
        <v>99</v>
      </c>
      <c r="M195" s="68">
        <f>--AND(Configuración!$B$6&lt;&gt;"",OR(E195="Todas",ISNUMBER(SEARCH(Configuración!$B$7,E195))),IF(L195="Monotributo",Configuración!$B$10="Sí",IF(L195="Autónomos",Configuración!$B$11="Sí",IF(L195="Responsable inscripto",Configuración!$B$12="Sí",IF(L195="Empleador",Configuración!$B$13="Sí",IF(L195="Casas particulares",Configuración!$B$14="Sí",IF(L195="Retenciones",Configuración!$B$15="Sí",IF(L195="Sociedad",Configuración!$B$16="Sí",IF(L195="Persona humana",Configuración!$B$17="Sí",IF(L195="Convenio Multilateral",Configuración!$B$18="Sí",FALSE()))))))))))</f>
        <v>0</v>
      </c>
      <c r="N195" s="68" t="str">
        <f>IF(M195=1,COUNTIF($M$2:M195,1),"")</f>
        <v/>
      </c>
      <c r="O195" s="50">
        <f t="shared" ca="1" si="12"/>
        <v>-40</v>
      </c>
      <c r="P195" s="17" t="str">
        <f t="shared" ca="1" si="13"/>
        <v>Vencido hace 40 días</v>
      </c>
      <c r="Q195" s="50">
        <f t="shared" si="14"/>
        <v>46213</v>
      </c>
      <c r="R195" s="17" t="str">
        <f>IF(M195=1,COUNTIFS($Q$2:Q195,Q195,$M$2:M195,1),"")</f>
        <v/>
      </c>
      <c r="S195" s="50" t="str">
        <f t="shared" si="15"/>
        <v/>
      </c>
    </row>
    <row r="196" spans="1:19" ht="45" customHeight="1" x14ac:dyDescent="0.35">
      <c r="A196" s="66">
        <v>46213</v>
      </c>
      <c r="B196" s="67" t="s">
        <v>100</v>
      </c>
      <c r="C196" s="67" t="s">
        <v>101</v>
      </c>
      <c r="D196" s="67" t="s">
        <v>93</v>
      </c>
      <c r="E196" s="67" t="s">
        <v>84</v>
      </c>
      <c r="F196" s="67" t="s">
        <v>160</v>
      </c>
      <c r="G196" s="67" t="s">
        <v>94</v>
      </c>
      <c r="H196" s="67" t="s">
        <v>87</v>
      </c>
      <c r="I196" s="67" t="s">
        <v>50</v>
      </c>
      <c r="J196" s="67" t="s">
        <v>88</v>
      </c>
      <c r="K196" s="67"/>
      <c r="L196" s="68" t="s">
        <v>95</v>
      </c>
      <c r="M196" s="68">
        <f>--AND(Configuración!$B$6&lt;&gt;"",OR(E196="Todas",ISNUMBER(SEARCH(Configuración!$B$7,E196))),IF(L196="Monotributo",Configuración!$B$10="Sí",IF(L196="Autónomos",Configuración!$B$11="Sí",IF(L196="Responsable inscripto",Configuración!$B$12="Sí",IF(L196="Empleador",Configuración!$B$13="Sí",IF(L196="Casas particulares",Configuración!$B$14="Sí",IF(L196="Retenciones",Configuración!$B$15="Sí",IF(L196="Sociedad",Configuración!$B$16="Sí",IF(L196="Persona humana",Configuración!$B$17="Sí",IF(L196="Convenio Multilateral",Configuración!$B$18="Sí",FALSE()))))))))))</f>
        <v>0</v>
      </c>
      <c r="N196" s="68" t="str">
        <f>IF(M196=1,COUNTIF($M$2:M196,1),"")</f>
        <v/>
      </c>
      <c r="O196" s="50">
        <f t="shared" ca="1" si="12"/>
        <v>-40</v>
      </c>
      <c r="P196" s="17" t="str">
        <f t="shared" ca="1" si="13"/>
        <v>Vencido hace 40 días</v>
      </c>
      <c r="Q196" s="50">
        <f t="shared" si="14"/>
        <v>46213</v>
      </c>
      <c r="R196" s="17" t="str">
        <f>IF(M196=1,COUNTIFS($Q$2:Q196,Q196,$M$2:M196,1),"")</f>
        <v/>
      </c>
      <c r="S196" s="50" t="str">
        <f t="shared" si="15"/>
        <v/>
      </c>
    </row>
    <row r="197" spans="1:19" ht="45" customHeight="1" x14ac:dyDescent="0.35">
      <c r="A197" s="66">
        <v>46213</v>
      </c>
      <c r="B197" s="67" t="s">
        <v>100</v>
      </c>
      <c r="C197" s="67" t="s">
        <v>101</v>
      </c>
      <c r="D197" s="67" t="s">
        <v>93</v>
      </c>
      <c r="E197" s="67" t="s">
        <v>89</v>
      </c>
      <c r="F197" s="67" t="s">
        <v>160</v>
      </c>
      <c r="G197" s="67" t="s">
        <v>94</v>
      </c>
      <c r="H197" s="67" t="s">
        <v>87</v>
      </c>
      <c r="I197" s="67" t="s">
        <v>50</v>
      </c>
      <c r="J197" s="67" t="s">
        <v>88</v>
      </c>
      <c r="K197" s="67"/>
      <c r="L197" s="68" t="s">
        <v>95</v>
      </c>
      <c r="M197" s="68">
        <f>--AND(Configuración!$B$6&lt;&gt;"",OR(E197="Todas",ISNUMBER(SEARCH(Configuración!$B$7,E197))),IF(L197="Monotributo",Configuración!$B$10="Sí",IF(L197="Autónomos",Configuración!$B$11="Sí",IF(L197="Responsable inscripto",Configuración!$B$12="Sí",IF(L197="Empleador",Configuración!$B$13="Sí",IF(L197="Casas particulares",Configuración!$B$14="Sí",IF(L197="Retenciones",Configuración!$B$15="Sí",IF(L197="Sociedad",Configuración!$B$16="Sí",IF(L197="Persona humana",Configuración!$B$17="Sí",IF(L197="Convenio Multilateral",Configuración!$B$18="Sí",FALSE()))))))))))</f>
        <v>0</v>
      </c>
      <c r="N197" s="68" t="str">
        <f>IF(M197=1,COUNTIF($M$2:M197,1),"")</f>
        <v/>
      </c>
      <c r="O197" s="50">
        <f t="shared" ca="1" si="12"/>
        <v>-40</v>
      </c>
      <c r="P197" s="17" t="str">
        <f t="shared" ca="1" si="13"/>
        <v>Vencido hace 40 días</v>
      </c>
      <c r="Q197" s="50">
        <f t="shared" si="14"/>
        <v>46213</v>
      </c>
      <c r="R197" s="17" t="str">
        <f>IF(M197=1,COUNTIFS($Q$2:Q197,Q197,$M$2:M197,1),"")</f>
        <v/>
      </c>
      <c r="S197" s="50" t="str">
        <f t="shared" si="15"/>
        <v/>
      </c>
    </row>
    <row r="198" spans="1:19" ht="45" customHeight="1" x14ac:dyDescent="0.35">
      <c r="A198" s="66">
        <v>46216</v>
      </c>
      <c r="B198" s="67" t="s">
        <v>100</v>
      </c>
      <c r="C198" s="67" t="s">
        <v>101</v>
      </c>
      <c r="D198" s="67" t="s">
        <v>93</v>
      </c>
      <c r="E198" s="67" t="s">
        <v>90</v>
      </c>
      <c r="F198" s="67" t="s">
        <v>160</v>
      </c>
      <c r="G198" s="67" t="s">
        <v>94</v>
      </c>
      <c r="H198" s="67" t="s">
        <v>87</v>
      </c>
      <c r="I198" s="67" t="s">
        <v>50</v>
      </c>
      <c r="J198" s="67" t="s">
        <v>88</v>
      </c>
      <c r="K198" s="67"/>
      <c r="L198" s="68" t="s">
        <v>95</v>
      </c>
      <c r="M198" s="68">
        <f>--AND(Configuración!$B$6&lt;&gt;"",OR(E198="Todas",ISNUMBER(SEARCH(Configuración!$B$7,E198))),IF(L198="Monotributo",Configuración!$B$10="Sí",IF(L198="Autónomos",Configuración!$B$11="Sí",IF(L198="Responsable inscripto",Configuración!$B$12="Sí",IF(L198="Empleador",Configuración!$B$13="Sí",IF(L198="Casas particulares",Configuración!$B$14="Sí",IF(L198="Retenciones",Configuración!$B$15="Sí",IF(L198="Sociedad",Configuración!$B$16="Sí",IF(L198="Persona humana",Configuración!$B$17="Sí",IF(L198="Convenio Multilateral",Configuración!$B$18="Sí",FALSE()))))))))))</f>
        <v>0</v>
      </c>
      <c r="N198" s="68" t="str">
        <f>IF(M198=1,COUNTIF($M$2:M198,1),"")</f>
        <v/>
      </c>
      <c r="O198" s="50">
        <f t="shared" ca="1" si="12"/>
        <v>-37</v>
      </c>
      <c r="P198" s="17" t="str">
        <f t="shared" ca="1" si="13"/>
        <v>Vencido hace 37 días</v>
      </c>
      <c r="Q198" s="50">
        <f t="shared" si="14"/>
        <v>46216</v>
      </c>
      <c r="R198" s="17" t="str">
        <f>IF(M198=1,COUNTIFS($Q$2:Q198,Q198,$M$2:M198,1),"")</f>
        <v/>
      </c>
      <c r="S198" s="50" t="str">
        <f t="shared" si="15"/>
        <v/>
      </c>
    </row>
    <row r="199" spans="1:19" ht="45" customHeight="1" x14ac:dyDescent="0.35">
      <c r="A199" s="66">
        <v>46216.625</v>
      </c>
      <c r="B199" s="67" t="s">
        <v>105</v>
      </c>
      <c r="C199" s="67" t="s">
        <v>106</v>
      </c>
      <c r="D199" s="67" t="s">
        <v>107</v>
      </c>
      <c r="E199" s="67" t="s">
        <v>84</v>
      </c>
      <c r="F199" s="67" t="s">
        <v>149</v>
      </c>
      <c r="G199" s="67" t="s">
        <v>109</v>
      </c>
      <c r="H199" s="67" t="s">
        <v>87</v>
      </c>
      <c r="I199" s="67" t="s">
        <v>50</v>
      </c>
      <c r="J199" s="67" t="s">
        <v>110</v>
      </c>
      <c r="K199" s="67" t="s">
        <v>111</v>
      </c>
      <c r="L199" s="68" t="s">
        <v>112</v>
      </c>
      <c r="M199" s="68">
        <f>--AND(Configuración!$B$6&lt;&gt;"",OR(E199="Todas",ISNUMBER(SEARCH(Configuración!$B$7,E199))),IF(L199="Monotributo",Configuración!$B$10="Sí",IF(L199="Autónomos",Configuración!$B$11="Sí",IF(L199="Responsable inscripto",Configuración!$B$12="Sí",IF(L199="Empleador",Configuración!$B$13="Sí",IF(L199="Casas particulares",Configuración!$B$14="Sí",IF(L199="Retenciones",Configuración!$B$15="Sí",IF(L199="Sociedad",Configuración!$B$16="Sí",IF(L199="Persona humana",Configuración!$B$17="Sí",IF(L199="Convenio Multilateral",Configuración!$B$18="Sí",FALSE()))))))))))</f>
        <v>0</v>
      </c>
      <c r="N199" s="68" t="str">
        <f>IF(M199=1,COUNTIF($M$2:M199,1),"")</f>
        <v/>
      </c>
      <c r="O199" s="50">
        <f t="shared" ca="1" si="12"/>
        <v>-37</v>
      </c>
      <c r="P199" s="17" t="str">
        <f t="shared" ca="1" si="13"/>
        <v>Vencido hace 37 días</v>
      </c>
      <c r="Q199" s="50">
        <f t="shared" si="14"/>
        <v>46216</v>
      </c>
      <c r="R199" s="17" t="str">
        <f>IF(M199=1,COUNTIFS($Q$2:Q199,Q199,$M$2:M199,1),"")</f>
        <v/>
      </c>
      <c r="S199" s="50" t="str">
        <f t="shared" si="15"/>
        <v/>
      </c>
    </row>
    <row r="200" spans="1:19" ht="45" customHeight="1" x14ac:dyDescent="0.35">
      <c r="A200" s="66">
        <v>46217.625</v>
      </c>
      <c r="B200" s="67" t="s">
        <v>105</v>
      </c>
      <c r="C200" s="67" t="s">
        <v>106</v>
      </c>
      <c r="D200" s="67" t="s">
        <v>107</v>
      </c>
      <c r="E200" s="67" t="s">
        <v>89</v>
      </c>
      <c r="F200" s="67" t="s">
        <v>149</v>
      </c>
      <c r="G200" s="67" t="s">
        <v>109</v>
      </c>
      <c r="H200" s="67" t="s">
        <v>87</v>
      </c>
      <c r="I200" s="67" t="s">
        <v>50</v>
      </c>
      <c r="J200" s="67" t="s">
        <v>110</v>
      </c>
      <c r="K200" s="67" t="s">
        <v>111</v>
      </c>
      <c r="L200" s="68" t="s">
        <v>112</v>
      </c>
      <c r="M200" s="68">
        <f>--AND(Configuración!$B$6&lt;&gt;"",OR(E200="Todas",ISNUMBER(SEARCH(Configuración!$B$7,E200))),IF(L200="Monotributo",Configuración!$B$10="Sí",IF(L200="Autónomos",Configuración!$B$11="Sí",IF(L200="Responsable inscripto",Configuración!$B$12="Sí",IF(L200="Empleador",Configuración!$B$13="Sí",IF(L200="Casas particulares",Configuración!$B$14="Sí",IF(L200="Retenciones",Configuración!$B$15="Sí",IF(L200="Sociedad",Configuración!$B$16="Sí",IF(L200="Persona humana",Configuración!$B$17="Sí",IF(L200="Convenio Multilateral",Configuración!$B$18="Sí",FALSE()))))))))))</f>
        <v>0</v>
      </c>
      <c r="N200" s="68" t="str">
        <f>IF(M200=1,COUNTIF($M$2:M200,1),"")</f>
        <v/>
      </c>
      <c r="O200" s="50">
        <f t="shared" ca="1" si="12"/>
        <v>-36</v>
      </c>
      <c r="P200" s="17" t="str">
        <f t="shared" ca="1" si="13"/>
        <v>Vencido hace 36 días</v>
      </c>
      <c r="Q200" s="50">
        <f t="shared" si="14"/>
        <v>46217</v>
      </c>
      <c r="R200" s="17" t="str">
        <f>IF(M200=1,COUNTIFS($Q$2:Q200,Q200,$M$2:M200,1),"")</f>
        <v/>
      </c>
      <c r="S200" s="50" t="str">
        <f t="shared" si="15"/>
        <v/>
      </c>
    </row>
    <row r="201" spans="1:19" ht="45" customHeight="1" x14ac:dyDescent="0.35">
      <c r="A201" s="66">
        <v>46218</v>
      </c>
      <c r="B201" s="67" t="s">
        <v>29</v>
      </c>
      <c r="C201" s="67" t="s">
        <v>113</v>
      </c>
      <c r="D201" s="67" t="s">
        <v>114</v>
      </c>
      <c r="E201" s="67" t="s">
        <v>104</v>
      </c>
      <c r="F201" s="67" t="s">
        <v>160</v>
      </c>
      <c r="G201" s="67" t="s">
        <v>86</v>
      </c>
      <c r="H201" s="67" t="s">
        <v>87</v>
      </c>
      <c r="I201" s="67" t="s">
        <v>50</v>
      </c>
      <c r="J201" s="67" t="s">
        <v>88</v>
      </c>
      <c r="K201" s="67"/>
      <c r="L201" s="68" t="s">
        <v>29</v>
      </c>
      <c r="M201" s="68">
        <f>--AND(Configuración!$B$6&lt;&gt;"",OR(E201="Todas",ISNUMBER(SEARCH(Configuración!$B$7,E201))),IF(L201="Monotributo",Configuración!$B$10="Sí",IF(L201="Autónomos",Configuración!$B$11="Sí",IF(L201="Responsable inscripto",Configuración!$B$12="Sí",IF(L201="Empleador",Configuración!$B$13="Sí",IF(L201="Casas particulares",Configuración!$B$14="Sí",IF(L201="Retenciones",Configuración!$B$15="Sí",IF(L201="Sociedad",Configuración!$B$16="Sí",IF(L201="Persona humana",Configuración!$B$17="Sí",IF(L201="Convenio Multilateral",Configuración!$B$18="Sí",FALSE()))))))))))</f>
        <v>0</v>
      </c>
      <c r="N201" s="68" t="str">
        <f>IF(M201=1,COUNTIF($M$2:M201,1),"")</f>
        <v/>
      </c>
      <c r="O201" s="50">
        <f t="shared" ca="1" si="12"/>
        <v>-35</v>
      </c>
      <c r="P201" s="17" t="str">
        <f t="shared" ca="1" si="13"/>
        <v>Vencido hace 35 días</v>
      </c>
      <c r="Q201" s="50">
        <f t="shared" si="14"/>
        <v>46218</v>
      </c>
      <c r="R201" s="17" t="str">
        <f>IF(M201=1,COUNTIFS($Q$2:Q201,Q201,$M$2:M201,1),"")</f>
        <v/>
      </c>
      <c r="S201" s="50" t="str">
        <f t="shared" si="15"/>
        <v/>
      </c>
    </row>
    <row r="202" spans="1:19" ht="45" customHeight="1" x14ac:dyDescent="0.35">
      <c r="A202" s="66">
        <v>46218.625</v>
      </c>
      <c r="B202" s="67" t="s">
        <v>105</v>
      </c>
      <c r="C202" s="67" t="s">
        <v>106</v>
      </c>
      <c r="D202" s="67" t="s">
        <v>107</v>
      </c>
      <c r="E202" s="67" t="s">
        <v>90</v>
      </c>
      <c r="F202" s="67" t="s">
        <v>149</v>
      </c>
      <c r="G202" s="67" t="s">
        <v>109</v>
      </c>
      <c r="H202" s="67" t="s">
        <v>87</v>
      </c>
      <c r="I202" s="67" t="s">
        <v>50</v>
      </c>
      <c r="J202" s="67" t="s">
        <v>110</v>
      </c>
      <c r="K202" s="67" t="s">
        <v>111</v>
      </c>
      <c r="L202" s="68" t="s">
        <v>112</v>
      </c>
      <c r="M202" s="68">
        <f>--AND(Configuración!$B$6&lt;&gt;"",OR(E202="Todas",ISNUMBER(SEARCH(Configuración!$B$7,E202))),IF(L202="Monotributo",Configuración!$B$10="Sí",IF(L202="Autónomos",Configuración!$B$11="Sí",IF(L202="Responsable inscripto",Configuración!$B$12="Sí",IF(L202="Empleador",Configuración!$B$13="Sí",IF(L202="Casas particulares",Configuración!$B$14="Sí",IF(L202="Retenciones",Configuración!$B$15="Sí",IF(L202="Sociedad",Configuración!$B$16="Sí",IF(L202="Persona humana",Configuración!$B$17="Sí",IF(L202="Convenio Multilateral",Configuración!$B$18="Sí",FALSE()))))))))))</f>
        <v>0</v>
      </c>
      <c r="N202" s="68" t="str">
        <f>IF(M202=1,COUNTIF($M$2:M202,1),"")</f>
        <v/>
      </c>
      <c r="O202" s="50">
        <f t="shared" ca="1" si="12"/>
        <v>-35</v>
      </c>
      <c r="P202" s="17" t="str">
        <f t="shared" ca="1" si="13"/>
        <v>Vencido hace 35 días</v>
      </c>
      <c r="Q202" s="50">
        <f t="shared" si="14"/>
        <v>46218</v>
      </c>
      <c r="R202" s="17" t="str">
        <f>IF(M202=1,COUNTIFS($Q$2:Q202,Q202,$M$2:M202,1),"")</f>
        <v/>
      </c>
      <c r="S202" s="50" t="str">
        <f t="shared" si="15"/>
        <v/>
      </c>
    </row>
    <row r="203" spans="1:19" ht="45" customHeight="1" x14ac:dyDescent="0.35">
      <c r="A203" s="66">
        <v>46218.625</v>
      </c>
      <c r="B203" s="67" t="s">
        <v>137</v>
      </c>
      <c r="C203" s="67" t="s">
        <v>138</v>
      </c>
      <c r="D203" s="67" t="s">
        <v>139</v>
      </c>
      <c r="E203" s="67" t="s">
        <v>140</v>
      </c>
      <c r="F203" s="67" t="s">
        <v>164</v>
      </c>
      <c r="G203" s="67" t="s">
        <v>94</v>
      </c>
      <c r="H203" s="67" t="s">
        <v>142</v>
      </c>
      <c r="I203" s="67" t="s">
        <v>50</v>
      </c>
      <c r="J203" s="67" t="s">
        <v>150</v>
      </c>
      <c r="K203" s="67" t="s">
        <v>151</v>
      </c>
      <c r="L203" s="68" t="s">
        <v>33</v>
      </c>
      <c r="M203" s="68">
        <f>--AND(Configuración!$B$6&lt;&gt;"",OR(E203="Todas",ISNUMBER(SEARCH(Configuración!$B$7,E203))),IF(L203="Monotributo",Configuración!$B$10="Sí",IF(L203="Autónomos",Configuración!$B$11="Sí",IF(L203="Responsable inscripto",Configuración!$B$12="Sí",IF(L203="Empleador",Configuración!$B$13="Sí",IF(L203="Casas particulares",Configuración!$B$14="Sí",IF(L203="Retenciones",Configuración!$B$15="Sí",IF(L203="Sociedad",Configuración!$B$16="Sí",IF(L203="Persona humana",Configuración!$B$17="Sí",IF(L203="Convenio Multilateral",Configuración!$B$18="Sí",FALSE()))))))))))</f>
        <v>0</v>
      </c>
      <c r="N203" s="68" t="str">
        <f>IF(M203=1,COUNTIF($M$2:M203,1),"")</f>
        <v/>
      </c>
      <c r="O203" s="50">
        <f t="shared" ca="1" si="12"/>
        <v>-35</v>
      </c>
      <c r="P203" s="17" t="str">
        <f t="shared" ca="1" si="13"/>
        <v>Vencido hace 35 días</v>
      </c>
      <c r="Q203" s="50">
        <f t="shared" si="14"/>
        <v>46218</v>
      </c>
      <c r="R203" s="17" t="str">
        <f>IF(M203=1,COUNTIFS($Q$2:Q203,Q203,$M$2:M203,1),"")</f>
        <v/>
      </c>
      <c r="S203" s="50" t="str">
        <f t="shared" si="15"/>
        <v/>
      </c>
    </row>
    <row r="204" spans="1:19" ht="45" customHeight="1" x14ac:dyDescent="0.35">
      <c r="A204" s="66">
        <v>46219.625</v>
      </c>
      <c r="B204" s="67" t="s">
        <v>137</v>
      </c>
      <c r="C204" s="67" t="s">
        <v>138</v>
      </c>
      <c r="D204" s="67" t="s">
        <v>139</v>
      </c>
      <c r="E204" s="67" t="s">
        <v>145</v>
      </c>
      <c r="F204" s="67" t="s">
        <v>164</v>
      </c>
      <c r="G204" s="67" t="s">
        <v>94</v>
      </c>
      <c r="H204" s="67" t="s">
        <v>142</v>
      </c>
      <c r="I204" s="67" t="s">
        <v>50</v>
      </c>
      <c r="J204" s="67" t="s">
        <v>150</v>
      </c>
      <c r="K204" s="67" t="s">
        <v>151</v>
      </c>
      <c r="L204" s="68" t="s">
        <v>33</v>
      </c>
      <c r="M204" s="68">
        <f>--AND(Configuración!$B$6&lt;&gt;"",OR(E204="Todas",ISNUMBER(SEARCH(Configuración!$B$7,E204))),IF(L204="Monotributo",Configuración!$B$10="Sí",IF(L204="Autónomos",Configuración!$B$11="Sí",IF(L204="Responsable inscripto",Configuración!$B$12="Sí",IF(L204="Empleador",Configuración!$B$13="Sí",IF(L204="Casas particulares",Configuración!$B$14="Sí",IF(L204="Retenciones",Configuración!$B$15="Sí",IF(L204="Sociedad",Configuración!$B$16="Sí",IF(L204="Persona humana",Configuración!$B$17="Sí",IF(L204="Convenio Multilateral",Configuración!$B$18="Sí",FALSE()))))))))))</f>
        <v>0</v>
      </c>
      <c r="N204" s="68" t="str">
        <f>IF(M204=1,COUNTIF($M$2:M204,1),"")</f>
        <v/>
      </c>
      <c r="O204" s="50">
        <f t="shared" ca="1" si="12"/>
        <v>-34</v>
      </c>
      <c r="P204" s="17" t="str">
        <f t="shared" ca="1" si="13"/>
        <v>Vencido hace 34 días</v>
      </c>
      <c r="Q204" s="50">
        <f t="shared" si="14"/>
        <v>46219</v>
      </c>
      <c r="R204" s="17" t="str">
        <f>IF(M204=1,COUNTIFS($Q$2:Q204,Q204,$M$2:M204,1),"")</f>
        <v/>
      </c>
      <c r="S204" s="50" t="str">
        <f t="shared" si="15"/>
        <v/>
      </c>
    </row>
    <row r="205" spans="1:19" ht="45" customHeight="1" x14ac:dyDescent="0.35">
      <c r="A205" s="66">
        <v>46220.625</v>
      </c>
      <c r="B205" s="67" t="s">
        <v>137</v>
      </c>
      <c r="C205" s="67" t="s">
        <v>138</v>
      </c>
      <c r="D205" s="67" t="s">
        <v>139</v>
      </c>
      <c r="E205" s="67" t="s">
        <v>146</v>
      </c>
      <c r="F205" s="67" t="s">
        <v>164</v>
      </c>
      <c r="G205" s="67" t="s">
        <v>94</v>
      </c>
      <c r="H205" s="67" t="s">
        <v>142</v>
      </c>
      <c r="I205" s="67" t="s">
        <v>50</v>
      </c>
      <c r="J205" s="67" t="s">
        <v>150</v>
      </c>
      <c r="K205" s="67" t="s">
        <v>151</v>
      </c>
      <c r="L205" s="68" t="s">
        <v>33</v>
      </c>
      <c r="M205" s="68">
        <f>--AND(Configuración!$B$6&lt;&gt;"",OR(E205="Todas",ISNUMBER(SEARCH(Configuración!$B$7,E205))),IF(L205="Monotributo",Configuración!$B$10="Sí",IF(L205="Autónomos",Configuración!$B$11="Sí",IF(L205="Responsable inscripto",Configuración!$B$12="Sí",IF(L205="Empleador",Configuración!$B$13="Sí",IF(L205="Casas particulares",Configuración!$B$14="Sí",IF(L205="Retenciones",Configuración!$B$15="Sí",IF(L205="Sociedad",Configuración!$B$16="Sí",IF(L205="Persona humana",Configuración!$B$17="Sí",IF(L205="Convenio Multilateral",Configuración!$B$18="Sí",FALSE()))))))))))</f>
        <v>0</v>
      </c>
      <c r="N205" s="68" t="str">
        <f>IF(M205=1,COUNTIF($M$2:M205,1),"")</f>
        <v/>
      </c>
      <c r="O205" s="50">
        <f t="shared" ca="1" si="12"/>
        <v>-33</v>
      </c>
      <c r="P205" s="17" t="str">
        <f t="shared" ca="1" si="13"/>
        <v>Vencido hace 33 días</v>
      </c>
      <c r="Q205" s="50">
        <f t="shared" si="14"/>
        <v>46220</v>
      </c>
      <c r="R205" s="17" t="str">
        <f>IF(M205=1,COUNTIFS($Q$2:Q205,Q205,$M$2:M205,1),"")</f>
        <v/>
      </c>
      <c r="S205" s="50" t="str">
        <f t="shared" si="15"/>
        <v/>
      </c>
    </row>
    <row r="206" spans="1:19" ht="45" customHeight="1" x14ac:dyDescent="0.35">
      <c r="A206" s="66">
        <v>46223</v>
      </c>
      <c r="B206" s="67" t="s">
        <v>115</v>
      </c>
      <c r="C206" s="67" t="s">
        <v>116</v>
      </c>
      <c r="D206" s="67" t="s">
        <v>117</v>
      </c>
      <c r="E206" s="67" t="s">
        <v>84</v>
      </c>
      <c r="F206" s="67" t="s">
        <v>160</v>
      </c>
      <c r="G206" s="67" t="s">
        <v>94</v>
      </c>
      <c r="H206" s="67" t="s">
        <v>87</v>
      </c>
      <c r="I206" s="67" t="s">
        <v>50</v>
      </c>
      <c r="J206" s="67" t="s">
        <v>88</v>
      </c>
      <c r="K206" s="67"/>
      <c r="L206" s="68" t="s">
        <v>118</v>
      </c>
      <c r="M206" s="68">
        <f>--AND(Configuración!$B$6&lt;&gt;"",OR(E206="Todas",ISNUMBER(SEARCH(Configuración!$B$7,E206))),IF(L206="Monotributo",Configuración!$B$10="Sí",IF(L206="Autónomos",Configuración!$B$11="Sí",IF(L206="Responsable inscripto",Configuración!$B$12="Sí",IF(L206="Empleador",Configuración!$B$13="Sí",IF(L206="Casas particulares",Configuración!$B$14="Sí",IF(L206="Retenciones",Configuración!$B$15="Sí",IF(L206="Sociedad",Configuración!$B$16="Sí",IF(L206="Persona humana",Configuración!$B$17="Sí",IF(L206="Convenio Multilateral",Configuración!$B$18="Sí",FALSE()))))))))))</f>
        <v>0</v>
      </c>
      <c r="N206" s="68" t="str">
        <f>IF(M206=1,COUNTIF($M$2:M206,1),"")</f>
        <v/>
      </c>
      <c r="O206" s="50">
        <f t="shared" ca="1" si="12"/>
        <v>-30</v>
      </c>
      <c r="P206" s="17" t="str">
        <f t="shared" ca="1" si="13"/>
        <v>Vencido hace 30 días</v>
      </c>
      <c r="Q206" s="50">
        <f t="shared" si="14"/>
        <v>46223</v>
      </c>
      <c r="R206" s="17" t="str">
        <f>IF(M206=1,COUNTIFS($Q$2:Q206,Q206,$M$2:M206,1),"")</f>
        <v/>
      </c>
      <c r="S206" s="50" t="str">
        <f t="shared" si="15"/>
        <v/>
      </c>
    </row>
    <row r="207" spans="1:19" ht="45" customHeight="1" x14ac:dyDescent="0.35">
      <c r="A207" s="66">
        <v>46223</v>
      </c>
      <c r="B207" s="67" t="s">
        <v>115</v>
      </c>
      <c r="C207" s="67" t="s">
        <v>116</v>
      </c>
      <c r="D207" s="67" t="s">
        <v>117</v>
      </c>
      <c r="E207" s="67" t="s">
        <v>89</v>
      </c>
      <c r="F207" s="67" t="s">
        <v>160</v>
      </c>
      <c r="G207" s="67" t="s">
        <v>94</v>
      </c>
      <c r="H207" s="67" t="s">
        <v>87</v>
      </c>
      <c r="I207" s="67" t="s">
        <v>50</v>
      </c>
      <c r="J207" s="67" t="s">
        <v>88</v>
      </c>
      <c r="K207" s="67"/>
      <c r="L207" s="68" t="s">
        <v>118</v>
      </c>
      <c r="M207" s="68">
        <f>--AND(Configuración!$B$6&lt;&gt;"",OR(E207="Todas",ISNUMBER(SEARCH(Configuración!$B$7,E207))),IF(L207="Monotributo",Configuración!$B$10="Sí",IF(L207="Autónomos",Configuración!$B$11="Sí",IF(L207="Responsable inscripto",Configuración!$B$12="Sí",IF(L207="Empleador",Configuración!$B$13="Sí",IF(L207="Casas particulares",Configuración!$B$14="Sí",IF(L207="Retenciones",Configuración!$B$15="Sí",IF(L207="Sociedad",Configuración!$B$16="Sí",IF(L207="Persona humana",Configuración!$B$17="Sí",IF(L207="Convenio Multilateral",Configuración!$B$18="Sí",FALSE()))))))))))</f>
        <v>0</v>
      </c>
      <c r="N207" s="68" t="str">
        <f>IF(M207=1,COUNTIF($M$2:M207,1),"")</f>
        <v/>
      </c>
      <c r="O207" s="50">
        <f t="shared" ca="1" si="12"/>
        <v>-30</v>
      </c>
      <c r="P207" s="17" t="str">
        <f t="shared" ca="1" si="13"/>
        <v>Vencido hace 30 días</v>
      </c>
      <c r="Q207" s="50">
        <f t="shared" si="14"/>
        <v>46223</v>
      </c>
      <c r="R207" s="17" t="str">
        <f>IF(M207=1,COUNTIFS($Q$2:Q207,Q207,$M$2:M207,1),"")</f>
        <v/>
      </c>
      <c r="S207" s="50" t="str">
        <f t="shared" si="15"/>
        <v/>
      </c>
    </row>
    <row r="208" spans="1:19" ht="45" customHeight="1" x14ac:dyDescent="0.35">
      <c r="A208" s="66">
        <v>46223</v>
      </c>
      <c r="B208" s="67" t="s">
        <v>115</v>
      </c>
      <c r="C208" s="67" t="s">
        <v>116</v>
      </c>
      <c r="D208" s="67" t="s">
        <v>117</v>
      </c>
      <c r="E208" s="67" t="s">
        <v>90</v>
      </c>
      <c r="F208" s="67" t="s">
        <v>160</v>
      </c>
      <c r="G208" s="67" t="s">
        <v>94</v>
      </c>
      <c r="H208" s="67" t="s">
        <v>87</v>
      </c>
      <c r="I208" s="67" t="s">
        <v>50</v>
      </c>
      <c r="J208" s="67" t="s">
        <v>88</v>
      </c>
      <c r="K208" s="67"/>
      <c r="L208" s="68" t="s">
        <v>118</v>
      </c>
      <c r="M208" s="68">
        <f>--AND(Configuración!$B$6&lt;&gt;"",OR(E208="Todas",ISNUMBER(SEARCH(Configuración!$B$7,E208))),IF(L208="Monotributo",Configuración!$B$10="Sí",IF(L208="Autónomos",Configuración!$B$11="Sí",IF(L208="Responsable inscripto",Configuración!$B$12="Sí",IF(L208="Empleador",Configuración!$B$13="Sí",IF(L208="Casas particulares",Configuración!$B$14="Sí",IF(L208="Retenciones",Configuración!$B$15="Sí",IF(L208="Sociedad",Configuración!$B$16="Sí",IF(L208="Persona humana",Configuración!$B$17="Sí",IF(L208="Convenio Multilateral",Configuración!$B$18="Sí",FALSE()))))))))))</f>
        <v>0</v>
      </c>
      <c r="N208" s="68" t="str">
        <f>IF(M208=1,COUNTIF($M$2:M208,1),"")</f>
        <v/>
      </c>
      <c r="O208" s="50">
        <f t="shared" ca="1" si="12"/>
        <v>-30</v>
      </c>
      <c r="P208" s="17" t="str">
        <f t="shared" ca="1" si="13"/>
        <v>Vencido hace 30 días</v>
      </c>
      <c r="Q208" s="50">
        <f t="shared" si="14"/>
        <v>46223</v>
      </c>
      <c r="R208" s="17" t="str">
        <f>IF(M208=1,COUNTIFS($Q$2:Q208,Q208,$M$2:M208,1),"")</f>
        <v/>
      </c>
      <c r="S208" s="50" t="str">
        <f t="shared" si="15"/>
        <v/>
      </c>
    </row>
    <row r="209" spans="1:19" ht="45" customHeight="1" x14ac:dyDescent="0.35">
      <c r="A209" s="66">
        <v>46223</v>
      </c>
      <c r="B209" s="67" t="s">
        <v>119</v>
      </c>
      <c r="C209" s="67" t="s">
        <v>120</v>
      </c>
      <c r="D209" s="67" t="s">
        <v>121</v>
      </c>
      <c r="E209" s="67" t="s">
        <v>84</v>
      </c>
      <c r="F209" s="67" t="s">
        <v>160</v>
      </c>
      <c r="G209" s="67" t="s">
        <v>94</v>
      </c>
      <c r="H209" s="67" t="s">
        <v>87</v>
      </c>
      <c r="I209" s="67" t="s">
        <v>50</v>
      </c>
      <c r="J209" s="67" t="s">
        <v>88</v>
      </c>
      <c r="K209" s="67"/>
      <c r="L209" s="68" t="s">
        <v>118</v>
      </c>
      <c r="M209" s="68">
        <f>--AND(Configuración!$B$6&lt;&gt;"",OR(E209="Todas",ISNUMBER(SEARCH(Configuración!$B$7,E209))),IF(L209="Monotributo",Configuración!$B$10="Sí",IF(L209="Autónomos",Configuración!$B$11="Sí",IF(L209="Responsable inscripto",Configuración!$B$12="Sí",IF(L209="Empleador",Configuración!$B$13="Sí",IF(L209="Casas particulares",Configuración!$B$14="Sí",IF(L209="Retenciones",Configuración!$B$15="Sí",IF(L209="Sociedad",Configuración!$B$16="Sí",IF(L209="Persona humana",Configuración!$B$17="Sí",IF(L209="Convenio Multilateral",Configuración!$B$18="Sí",FALSE()))))))))))</f>
        <v>0</v>
      </c>
      <c r="N209" s="68" t="str">
        <f>IF(M209=1,COUNTIF($M$2:M209,1),"")</f>
        <v/>
      </c>
      <c r="O209" s="50">
        <f t="shared" ca="1" si="12"/>
        <v>-30</v>
      </c>
      <c r="P209" s="17" t="str">
        <f t="shared" ca="1" si="13"/>
        <v>Vencido hace 30 días</v>
      </c>
      <c r="Q209" s="50">
        <f t="shared" si="14"/>
        <v>46223</v>
      </c>
      <c r="R209" s="17" t="str">
        <f>IF(M209=1,COUNTIFS($Q$2:Q209,Q209,$M$2:M209,1),"")</f>
        <v/>
      </c>
      <c r="S209" s="50" t="str">
        <f t="shared" si="15"/>
        <v/>
      </c>
    </row>
    <row r="210" spans="1:19" ht="45" customHeight="1" x14ac:dyDescent="0.35">
      <c r="A210" s="66">
        <v>46223</v>
      </c>
      <c r="B210" s="67" t="s">
        <v>119</v>
      </c>
      <c r="C210" s="67" t="s">
        <v>120</v>
      </c>
      <c r="D210" s="67" t="s">
        <v>121</v>
      </c>
      <c r="E210" s="67" t="s">
        <v>89</v>
      </c>
      <c r="F210" s="67" t="s">
        <v>160</v>
      </c>
      <c r="G210" s="67" t="s">
        <v>94</v>
      </c>
      <c r="H210" s="67" t="s">
        <v>87</v>
      </c>
      <c r="I210" s="67" t="s">
        <v>50</v>
      </c>
      <c r="J210" s="67" t="s">
        <v>88</v>
      </c>
      <c r="K210" s="67"/>
      <c r="L210" s="68" t="s">
        <v>118</v>
      </c>
      <c r="M210" s="68">
        <f>--AND(Configuración!$B$6&lt;&gt;"",OR(E210="Todas",ISNUMBER(SEARCH(Configuración!$B$7,E210))),IF(L210="Monotributo",Configuración!$B$10="Sí",IF(L210="Autónomos",Configuración!$B$11="Sí",IF(L210="Responsable inscripto",Configuración!$B$12="Sí",IF(L210="Empleador",Configuración!$B$13="Sí",IF(L210="Casas particulares",Configuración!$B$14="Sí",IF(L210="Retenciones",Configuración!$B$15="Sí",IF(L210="Sociedad",Configuración!$B$16="Sí",IF(L210="Persona humana",Configuración!$B$17="Sí",IF(L210="Convenio Multilateral",Configuración!$B$18="Sí",FALSE()))))))))))</f>
        <v>0</v>
      </c>
      <c r="N210" s="68" t="str">
        <f>IF(M210=1,COUNTIF($M$2:M210,1),"")</f>
        <v/>
      </c>
      <c r="O210" s="50">
        <f t="shared" ca="1" si="12"/>
        <v>-30</v>
      </c>
      <c r="P210" s="17" t="str">
        <f t="shared" ca="1" si="13"/>
        <v>Vencido hace 30 días</v>
      </c>
      <c r="Q210" s="50">
        <f t="shared" si="14"/>
        <v>46223</v>
      </c>
      <c r="R210" s="17" t="str">
        <f>IF(M210=1,COUNTIFS($Q$2:Q210,Q210,$M$2:M210,1),"")</f>
        <v/>
      </c>
      <c r="S210" s="50" t="str">
        <f t="shared" si="15"/>
        <v/>
      </c>
    </row>
    <row r="211" spans="1:19" ht="45" customHeight="1" x14ac:dyDescent="0.35">
      <c r="A211" s="66">
        <v>46223</v>
      </c>
      <c r="B211" s="67" t="s">
        <v>119</v>
      </c>
      <c r="C211" s="67" t="s">
        <v>120</v>
      </c>
      <c r="D211" s="67" t="s">
        <v>121</v>
      </c>
      <c r="E211" s="67" t="s">
        <v>90</v>
      </c>
      <c r="F211" s="67" t="s">
        <v>160</v>
      </c>
      <c r="G211" s="67" t="s">
        <v>94</v>
      </c>
      <c r="H211" s="67" t="s">
        <v>87</v>
      </c>
      <c r="I211" s="67" t="s">
        <v>50</v>
      </c>
      <c r="J211" s="67" t="s">
        <v>88</v>
      </c>
      <c r="K211" s="67"/>
      <c r="L211" s="68" t="s">
        <v>118</v>
      </c>
      <c r="M211" s="68">
        <f>--AND(Configuración!$B$6&lt;&gt;"",OR(E211="Todas",ISNUMBER(SEARCH(Configuración!$B$7,E211))),IF(L211="Monotributo",Configuración!$B$10="Sí",IF(L211="Autónomos",Configuración!$B$11="Sí",IF(L211="Responsable inscripto",Configuración!$B$12="Sí",IF(L211="Empleador",Configuración!$B$13="Sí",IF(L211="Casas particulares",Configuración!$B$14="Sí",IF(L211="Retenciones",Configuración!$B$15="Sí",IF(L211="Sociedad",Configuración!$B$16="Sí",IF(L211="Persona humana",Configuración!$B$17="Sí",IF(L211="Convenio Multilateral",Configuración!$B$18="Sí",FALSE()))))))))))</f>
        <v>0</v>
      </c>
      <c r="N211" s="68" t="str">
        <f>IF(M211=1,COUNTIF($M$2:M211,1),"")</f>
        <v/>
      </c>
      <c r="O211" s="50">
        <f t="shared" ca="1" si="12"/>
        <v>-30</v>
      </c>
      <c r="P211" s="17" t="str">
        <f t="shared" ca="1" si="13"/>
        <v>Vencido hace 30 días</v>
      </c>
      <c r="Q211" s="50">
        <f t="shared" si="14"/>
        <v>46223</v>
      </c>
      <c r="R211" s="17" t="str">
        <f>IF(M211=1,COUNTIFS($Q$2:Q211,Q211,$M$2:M211,1),"")</f>
        <v/>
      </c>
      <c r="S211" s="50" t="str">
        <f t="shared" si="15"/>
        <v/>
      </c>
    </row>
    <row r="212" spans="1:19" ht="45" customHeight="1" x14ac:dyDescent="0.35">
      <c r="A212" s="66">
        <v>46223</v>
      </c>
      <c r="B212" s="67" t="s">
        <v>122</v>
      </c>
      <c r="C212" s="67" t="s">
        <v>123</v>
      </c>
      <c r="D212" s="67" t="s">
        <v>124</v>
      </c>
      <c r="E212" s="67" t="s">
        <v>84</v>
      </c>
      <c r="F212" s="67" t="s">
        <v>160</v>
      </c>
      <c r="G212" s="67" t="s">
        <v>109</v>
      </c>
      <c r="H212" s="67" t="s">
        <v>87</v>
      </c>
      <c r="I212" s="67" t="s">
        <v>50</v>
      </c>
      <c r="J212" s="67" t="s">
        <v>88</v>
      </c>
      <c r="K212" s="67" t="s">
        <v>125</v>
      </c>
      <c r="L212" s="68" t="s">
        <v>118</v>
      </c>
      <c r="M212" s="68">
        <f>--AND(Configuración!$B$6&lt;&gt;"",OR(E212="Todas",ISNUMBER(SEARCH(Configuración!$B$7,E212))),IF(L212="Monotributo",Configuración!$B$10="Sí",IF(L212="Autónomos",Configuración!$B$11="Sí",IF(L212="Responsable inscripto",Configuración!$B$12="Sí",IF(L212="Empleador",Configuración!$B$13="Sí",IF(L212="Casas particulares",Configuración!$B$14="Sí",IF(L212="Retenciones",Configuración!$B$15="Sí",IF(L212="Sociedad",Configuración!$B$16="Sí",IF(L212="Persona humana",Configuración!$B$17="Sí",IF(L212="Convenio Multilateral",Configuración!$B$18="Sí",FALSE()))))))))))</f>
        <v>0</v>
      </c>
      <c r="N212" s="68" t="str">
        <f>IF(M212=1,COUNTIF($M$2:M212,1),"")</f>
        <v/>
      </c>
      <c r="O212" s="50">
        <f t="shared" ca="1" si="12"/>
        <v>-30</v>
      </c>
      <c r="P212" s="17" t="str">
        <f t="shared" ca="1" si="13"/>
        <v>Vencido hace 30 días</v>
      </c>
      <c r="Q212" s="50">
        <f t="shared" si="14"/>
        <v>46223</v>
      </c>
      <c r="R212" s="17" t="str">
        <f>IF(M212=1,COUNTIFS($Q$2:Q212,Q212,$M$2:M212,1),"")</f>
        <v/>
      </c>
      <c r="S212" s="50" t="str">
        <f t="shared" si="15"/>
        <v/>
      </c>
    </row>
    <row r="213" spans="1:19" ht="45" customHeight="1" x14ac:dyDescent="0.35">
      <c r="A213" s="66">
        <v>46223</v>
      </c>
      <c r="B213" s="67" t="s">
        <v>122</v>
      </c>
      <c r="C213" s="67" t="s">
        <v>123</v>
      </c>
      <c r="D213" s="67" t="s">
        <v>124</v>
      </c>
      <c r="E213" s="67" t="s">
        <v>89</v>
      </c>
      <c r="F213" s="67" t="s">
        <v>160</v>
      </c>
      <c r="G213" s="67" t="s">
        <v>109</v>
      </c>
      <c r="H213" s="67" t="s">
        <v>87</v>
      </c>
      <c r="I213" s="67" t="s">
        <v>50</v>
      </c>
      <c r="J213" s="67" t="s">
        <v>88</v>
      </c>
      <c r="K213" s="67" t="s">
        <v>125</v>
      </c>
      <c r="L213" s="68" t="s">
        <v>118</v>
      </c>
      <c r="M213" s="68">
        <f>--AND(Configuración!$B$6&lt;&gt;"",OR(E213="Todas",ISNUMBER(SEARCH(Configuración!$B$7,E213))),IF(L213="Monotributo",Configuración!$B$10="Sí",IF(L213="Autónomos",Configuración!$B$11="Sí",IF(L213="Responsable inscripto",Configuración!$B$12="Sí",IF(L213="Empleador",Configuración!$B$13="Sí",IF(L213="Casas particulares",Configuración!$B$14="Sí",IF(L213="Retenciones",Configuración!$B$15="Sí",IF(L213="Sociedad",Configuración!$B$16="Sí",IF(L213="Persona humana",Configuración!$B$17="Sí",IF(L213="Convenio Multilateral",Configuración!$B$18="Sí",FALSE()))))))))))</f>
        <v>0</v>
      </c>
      <c r="N213" s="68" t="str">
        <f>IF(M213=1,COUNTIF($M$2:M213,1),"")</f>
        <v/>
      </c>
      <c r="O213" s="50">
        <f t="shared" ca="1" si="12"/>
        <v>-30</v>
      </c>
      <c r="P213" s="17" t="str">
        <f t="shared" ca="1" si="13"/>
        <v>Vencido hace 30 días</v>
      </c>
      <c r="Q213" s="50">
        <f t="shared" si="14"/>
        <v>46223</v>
      </c>
      <c r="R213" s="17" t="str">
        <f>IF(M213=1,COUNTIFS($Q$2:Q213,Q213,$M$2:M213,1),"")</f>
        <v/>
      </c>
      <c r="S213" s="50" t="str">
        <f t="shared" si="15"/>
        <v/>
      </c>
    </row>
    <row r="214" spans="1:19" ht="45" customHeight="1" x14ac:dyDescent="0.35">
      <c r="A214" s="66">
        <v>46223</v>
      </c>
      <c r="B214" s="67" t="s">
        <v>122</v>
      </c>
      <c r="C214" s="67" t="s">
        <v>123</v>
      </c>
      <c r="D214" s="67" t="s">
        <v>124</v>
      </c>
      <c r="E214" s="67" t="s">
        <v>90</v>
      </c>
      <c r="F214" s="67" t="s">
        <v>160</v>
      </c>
      <c r="G214" s="67" t="s">
        <v>109</v>
      </c>
      <c r="H214" s="67" t="s">
        <v>87</v>
      </c>
      <c r="I214" s="67" t="s">
        <v>50</v>
      </c>
      <c r="J214" s="67" t="s">
        <v>88</v>
      </c>
      <c r="K214" s="67" t="s">
        <v>125</v>
      </c>
      <c r="L214" s="68" t="s">
        <v>118</v>
      </c>
      <c r="M214" s="68">
        <f>--AND(Configuración!$B$6&lt;&gt;"",OR(E214="Todas",ISNUMBER(SEARCH(Configuración!$B$7,E214))),IF(L214="Monotributo",Configuración!$B$10="Sí",IF(L214="Autónomos",Configuración!$B$11="Sí",IF(L214="Responsable inscripto",Configuración!$B$12="Sí",IF(L214="Empleador",Configuración!$B$13="Sí",IF(L214="Casas particulares",Configuración!$B$14="Sí",IF(L214="Retenciones",Configuración!$B$15="Sí",IF(L214="Sociedad",Configuración!$B$16="Sí",IF(L214="Persona humana",Configuración!$B$17="Sí",IF(L214="Convenio Multilateral",Configuración!$B$18="Sí",FALSE()))))))))))</f>
        <v>0</v>
      </c>
      <c r="N214" s="68" t="str">
        <f>IF(M214=1,COUNTIF($M$2:M214,1),"")</f>
        <v/>
      </c>
      <c r="O214" s="50">
        <f t="shared" ca="1" si="12"/>
        <v>-30</v>
      </c>
      <c r="P214" s="17" t="str">
        <f t="shared" ca="1" si="13"/>
        <v>Vencido hace 30 días</v>
      </c>
      <c r="Q214" s="50">
        <f t="shared" si="14"/>
        <v>46223</v>
      </c>
      <c r="R214" s="17" t="str">
        <f>IF(M214=1,COUNTIFS($Q$2:Q214,Q214,$M$2:M214,1),"")</f>
        <v/>
      </c>
      <c r="S214" s="50" t="str">
        <f t="shared" si="15"/>
        <v/>
      </c>
    </row>
    <row r="215" spans="1:19" ht="30" customHeight="1" x14ac:dyDescent="0.35">
      <c r="A215" s="66">
        <v>46223</v>
      </c>
      <c r="B215" s="67" t="s">
        <v>24</v>
      </c>
      <c r="C215" s="67" t="s">
        <v>126</v>
      </c>
      <c r="D215" s="67" t="s">
        <v>127</v>
      </c>
      <c r="E215" s="67" t="s">
        <v>104</v>
      </c>
      <c r="F215" s="67" t="s">
        <v>165</v>
      </c>
      <c r="G215" s="67" t="s">
        <v>86</v>
      </c>
      <c r="H215" s="67" t="s">
        <v>87</v>
      </c>
      <c r="I215" s="67" t="s">
        <v>50</v>
      </c>
      <c r="J215" s="67" t="s">
        <v>129</v>
      </c>
      <c r="K215" s="67" t="s">
        <v>130</v>
      </c>
      <c r="L215" s="68" t="s">
        <v>24</v>
      </c>
      <c r="M215" s="68">
        <f>--AND(Configuración!$B$6&lt;&gt;"",OR(E215="Todas",ISNUMBER(SEARCH(Configuración!$B$7,E215))),IF(L215="Monotributo",Configuración!$B$10="Sí",IF(L215="Autónomos",Configuración!$B$11="Sí",IF(L215="Responsable inscripto",Configuración!$B$12="Sí",IF(L215="Empleador",Configuración!$B$13="Sí",IF(L215="Casas particulares",Configuración!$B$14="Sí",IF(L215="Retenciones",Configuración!$B$15="Sí",IF(L215="Sociedad",Configuración!$B$16="Sí",IF(L215="Persona humana",Configuración!$B$17="Sí",IF(L215="Convenio Multilateral",Configuración!$B$18="Sí",FALSE()))))))))))</f>
        <v>0</v>
      </c>
      <c r="N215" s="68" t="str">
        <f>IF(M215=1,COUNTIF($M$2:M215,1),"")</f>
        <v/>
      </c>
      <c r="O215" s="50">
        <f t="shared" ca="1" si="12"/>
        <v>-30</v>
      </c>
      <c r="P215" s="17" t="str">
        <f t="shared" ca="1" si="13"/>
        <v>Vencido hace 30 días</v>
      </c>
      <c r="Q215" s="50">
        <f t="shared" si="14"/>
        <v>46223</v>
      </c>
      <c r="R215" s="17" t="str">
        <f>IF(M215=1,COUNTIFS($Q$2:Q215,Q215,$M$2:M215,1),"")</f>
        <v/>
      </c>
      <c r="S215" s="50" t="str">
        <f t="shared" si="15"/>
        <v/>
      </c>
    </row>
    <row r="216" spans="1:19" ht="45" customHeight="1" x14ac:dyDescent="0.35">
      <c r="A216" s="66">
        <v>46223.625</v>
      </c>
      <c r="B216" s="67" t="s">
        <v>137</v>
      </c>
      <c r="C216" s="67" t="s">
        <v>138</v>
      </c>
      <c r="D216" s="67" t="s">
        <v>139</v>
      </c>
      <c r="E216" s="67" t="s">
        <v>147</v>
      </c>
      <c r="F216" s="67" t="s">
        <v>164</v>
      </c>
      <c r="G216" s="67" t="s">
        <v>94</v>
      </c>
      <c r="H216" s="67" t="s">
        <v>142</v>
      </c>
      <c r="I216" s="67" t="s">
        <v>50</v>
      </c>
      <c r="J216" s="67" t="s">
        <v>150</v>
      </c>
      <c r="K216" s="67" t="s">
        <v>151</v>
      </c>
      <c r="L216" s="68" t="s">
        <v>33</v>
      </c>
      <c r="M216" s="68">
        <f>--AND(Configuración!$B$6&lt;&gt;"",OR(E216="Todas",ISNUMBER(SEARCH(Configuración!$B$7,E216))),IF(L216="Monotributo",Configuración!$B$10="Sí",IF(L216="Autónomos",Configuración!$B$11="Sí",IF(L216="Responsable inscripto",Configuración!$B$12="Sí",IF(L216="Empleador",Configuración!$B$13="Sí",IF(L216="Casas particulares",Configuración!$B$14="Sí",IF(L216="Retenciones",Configuración!$B$15="Sí",IF(L216="Sociedad",Configuración!$B$16="Sí",IF(L216="Persona humana",Configuración!$B$17="Sí",IF(L216="Convenio Multilateral",Configuración!$B$18="Sí",FALSE()))))))))))</f>
        <v>0</v>
      </c>
      <c r="N216" s="68" t="str">
        <f>IF(M216=1,COUNTIF($M$2:M216,1),"")</f>
        <v/>
      </c>
      <c r="O216" s="50">
        <f t="shared" ca="1" si="12"/>
        <v>-30</v>
      </c>
      <c r="P216" s="17" t="str">
        <f t="shared" ca="1" si="13"/>
        <v>Vencido hace 30 días</v>
      </c>
      <c r="Q216" s="50">
        <f t="shared" si="14"/>
        <v>46223</v>
      </c>
      <c r="R216" s="17" t="str">
        <f>IF(M216=1,COUNTIFS($Q$2:Q216,Q216,$M$2:M216,1),"")</f>
        <v/>
      </c>
      <c r="S216" s="50" t="str">
        <f t="shared" si="15"/>
        <v/>
      </c>
    </row>
    <row r="217" spans="1:19" ht="30" customHeight="1" x14ac:dyDescent="0.35">
      <c r="A217" s="66">
        <v>46230</v>
      </c>
      <c r="B217" s="67" t="s">
        <v>166</v>
      </c>
      <c r="C217" s="67" t="s">
        <v>167</v>
      </c>
      <c r="D217" s="67" t="s">
        <v>168</v>
      </c>
      <c r="E217" s="67" t="s">
        <v>104</v>
      </c>
      <c r="F217" s="67" t="s">
        <v>162</v>
      </c>
      <c r="G217" s="67" t="s">
        <v>94</v>
      </c>
      <c r="H217" s="67" t="s">
        <v>87</v>
      </c>
      <c r="I217" s="67" t="s">
        <v>50</v>
      </c>
      <c r="J217" s="67" t="s">
        <v>169</v>
      </c>
      <c r="K217" s="67"/>
      <c r="L217" s="68" t="s">
        <v>170</v>
      </c>
      <c r="M217" s="68">
        <f>--AND(Configuración!$B$6&lt;&gt;"",OR(E217="Todas",ISNUMBER(SEARCH(Configuración!$B$7,E217))),IF(L217="Monotributo",Configuración!$B$10="Sí",IF(L217="Autónomos",Configuración!$B$11="Sí",IF(L217="Responsable inscripto",Configuración!$B$12="Sí",IF(L217="Empleador",Configuración!$B$13="Sí",IF(L217="Casas particulares",Configuración!$B$14="Sí",IF(L217="Retenciones",Configuración!$B$15="Sí",IF(L217="Sociedad",Configuración!$B$16="Sí",IF(L217="Persona humana",Configuración!$B$17="Sí",IF(L217="Convenio Multilateral",Configuración!$B$18="Sí",FALSE()))))))))))</f>
        <v>0</v>
      </c>
      <c r="N217" s="68" t="str">
        <f>IF(M217=1,COUNTIF($M$2:M217,1),"")</f>
        <v/>
      </c>
      <c r="O217" s="50">
        <f t="shared" ca="1" si="12"/>
        <v>-23</v>
      </c>
      <c r="P217" s="17" t="str">
        <f t="shared" ca="1" si="13"/>
        <v>Vencido hace 23 días</v>
      </c>
      <c r="Q217" s="50">
        <f t="shared" si="14"/>
        <v>46230</v>
      </c>
      <c r="R217" s="17" t="str">
        <f>IF(M217=1,COUNTIFS($Q$2:Q217,Q217,$M$2:M217,1),"")</f>
        <v/>
      </c>
      <c r="S217" s="50" t="str">
        <f t="shared" si="15"/>
        <v/>
      </c>
    </row>
    <row r="218" spans="1:19" ht="45" customHeight="1" x14ac:dyDescent="0.35">
      <c r="A218" s="66">
        <v>46230</v>
      </c>
      <c r="B218" s="67" t="s">
        <v>171</v>
      </c>
      <c r="C218" s="67" t="s">
        <v>172</v>
      </c>
      <c r="D218" s="67" t="s">
        <v>168</v>
      </c>
      <c r="E218" s="67" t="s">
        <v>104</v>
      </c>
      <c r="F218" s="67" t="s">
        <v>162</v>
      </c>
      <c r="G218" s="67" t="s">
        <v>86</v>
      </c>
      <c r="H218" s="67" t="s">
        <v>87</v>
      </c>
      <c r="I218" s="67" t="s">
        <v>50</v>
      </c>
      <c r="J218" s="67" t="s">
        <v>173</v>
      </c>
      <c r="K218" s="67" t="s">
        <v>174</v>
      </c>
      <c r="L218" s="68" t="s">
        <v>170</v>
      </c>
      <c r="M218" s="68">
        <f>--AND(Configuración!$B$6&lt;&gt;"",OR(E218="Todas",ISNUMBER(SEARCH(Configuración!$B$7,E218))),IF(L218="Monotributo",Configuración!$B$10="Sí",IF(L218="Autónomos",Configuración!$B$11="Sí",IF(L218="Responsable inscripto",Configuración!$B$12="Sí",IF(L218="Empleador",Configuración!$B$13="Sí",IF(L218="Casas particulares",Configuración!$B$14="Sí",IF(L218="Retenciones",Configuración!$B$15="Sí",IF(L218="Sociedad",Configuración!$B$16="Sí",IF(L218="Persona humana",Configuración!$B$17="Sí",IF(L218="Convenio Multilateral",Configuración!$B$18="Sí",FALSE()))))))))))</f>
        <v>0</v>
      </c>
      <c r="N218" s="68" t="str">
        <f>IF(M218=1,COUNTIF($M$2:M218,1),"")</f>
        <v/>
      </c>
      <c r="O218" s="50">
        <f t="shared" ca="1" si="12"/>
        <v>-23</v>
      </c>
      <c r="P218" s="17" t="str">
        <f t="shared" ca="1" si="13"/>
        <v>Vencido hace 23 días</v>
      </c>
      <c r="Q218" s="50">
        <f t="shared" si="14"/>
        <v>46230</v>
      </c>
      <c r="R218" s="17" t="str">
        <f>IF(M218=1,COUNTIFS($Q$2:Q218,Q218,$M$2:M218,1),"")</f>
        <v/>
      </c>
      <c r="S218" s="50" t="str">
        <f t="shared" si="15"/>
        <v/>
      </c>
    </row>
    <row r="219" spans="1:19" ht="30" customHeight="1" x14ac:dyDescent="0.35">
      <c r="A219" s="66">
        <v>46234</v>
      </c>
      <c r="B219" s="67" t="s">
        <v>166</v>
      </c>
      <c r="C219" s="67" t="s">
        <v>175</v>
      </c>
      <c r="D219" s="67" t="s">
        <v>176</v>
      </c>
      <c r="E219" s="67" t="s">
        <v>104</v>
      </c>
      <c r="F219" s="67" t="s">
        <v>162</v>
      </c>
      <c r="G219" s="67" t="s">
        <v>109</v>
      </c>
      <c r="H219" s="67" t="s">
        <v>87</v>
      </c>
      <c r="I219" s="67" t="s">
        <v>50</v>
      </c>
      <c r="J219" s="67" t="s">
        <v>169</v>
      </c>
      <c r="K219" s="67"/>
      <c r="L219" s="68" t="s">
        <v>170</v>
      </c>
      <c r="M219" s="68">
        <f>--AND(Configuración!$B$6&lt;&gt;"",OR(E219="Todas",ISNUMBER(SEARCH(Configuración!$B$7,E219))),IF(L219="Monotributo",Configuración!$B$10="Sí",IF(L219="Autónomos",Configuración!$B$11="Sí",IF(L219="Responsable inscripto",Configuración!$B$12="Sí",IF(L219="Empleador",Configuración!$B$13="Sí",IF(L219="Casas particulares",Configuración!$B$14="Sí",IF(L219="Retenciones",Configuración!$B$15="Sí",IF(L219="Sociedad",Configuración!$B$16="Sí",IF(L219="Persona humana",Configuración!$B$17="Sí",IF(L219="Convenio Multilateral",Configuración!$B$18="Sí",FALSE()))))))))))</f>
        <v>0</v>
      </c>
      <c r="N219" s="68" t="str">
        <f>IF(M219=1,COUNTIF($M$2:M219,1),"")</f>
        <v/>
      </c>
      <c r="O219" s="50">
        <f t="shared" ca="1" si="12"/>
        <v>-19</v>
      </c>
      <c r="P219" s="17" t="str">
        <f t="shared" ca="1" si="13"/>
        <v>Vencido hace 19 días</v>
      </c>
      <c r="Q219" s="50">
        <f t="shared" si="14"/>
        <v>46234</v>
      </c>
      <c r="R219" s="17" t="str">
        <f>IF(M219=1,COUNTIFS($Q$2:Q219,Q219,$M$2:M219,1),"")</f>
        <v/>
      </c>
      <c r="S219" s="50" t="str">
        <f t="shared" si="15"/>
        <v/>
      </c>
    </row>
    <row r="220" spans="1:19" ht="45" customHeight="1" x14ac:dyDescent="0.35">
      <c r="A220" s="66">
        <v>46237</v>
      </c>
      <c r="B220" s="67" t="s">
        <v>26</v>
      </c>
      <c r="C220" s="67" t="s">
        <v>82</v>
      </c>
      <c r="D220" s="67" t="s">
        <v>83</v>
      </c>
      <c r="E220" s="67" t="s">
        <v>84</v>
      </c>
      <c r="F220" s="67" t="s">
        <v>165</v>
      </c>
      <c r="G220" s="67" t="s">
        <v>86</v>
      </c>
      <c r="H220" s="67" t="s">
        <v>87</v>
      </c>
      <c r="I220" s="67" t="s">
        <v>50</v>
      </c>
      <c r="J220" s="67" t="s">
        <v>88</v>
      </c>
      <c r="K220" s="67"/>
      <c r="L220" s="68" t="s">
        <v>26</v>
      </c>
      <c r="M220" s="68">
        <f>--AND(Configuración!$B$6&lt;&gt;"",OR(E220="Todas",ISNUMBER(SEARCH(Configuración!$B$7,E220))),IF(L220="Monotributo",Configuración!$B$10="Sí",IF(L220="Autónomos",Configuración!$B$11="Sí",IF(L220="Responsable inscripto",Configuración!$B$12="Sí",IF(L220="Empleador",Configuración!$B$13="Sí",IF(L220="Casas particulares",Configuración!$B$14="Sí",IF(L220="Retenciones",Configuración!$B$15="Sí",IF(L220="Sociedad",Configuración!$B$16="Sí",IF(L220="Persona humana",Configuración!$B$17="Sí",IF(L220="Convenio Multilateral",Configuración!$B$18="Sí",FALSE()))))))))))</f>
        <v>0</v>
      </c>
      <c r="N220" s="68" t="str">
        <f>IF(M220=1,COUNTIF($M$2:M220,1),"")</f>
        <v/>
      </c>
      <c r="O220" s="50">
        <f t="shared" ca="1" si="12"/>
        <v>-16</v>
      </c>
      <c r="P220" s="17" t="str">
        <f t="shared" ca="1" si="13"/>
        <v>Vencido hace 16 días</v>
      </c>
      <c r="Q220" s="50">
        <f t="shared" si="14"/>
        <v>46237</v>
      </c>
      <c r="R220" s="17" t="str">
        <f>IF(M220=1,COUNTIFS($Q$2:Q220,Q220,$M$2:M220,1),"")</f>
        <v/>
      </c>
      <c r="S220" s="50" t="str">
        <f t="shared" si="15"/>
        <v/>
      </c>
    </row>
    <row r="221" spans="1:19" ht="45" customHeight="1" x14ac:dyDescent="0.35">
      <c r="A221" s="66">
        <v>46238</v>
      </c>
      <c r="B221" s="67" t="s">
        <v>26</v>
      </c>
      <c r="C221" s="67" t="s">
        <v>82</v>
      </c>
      <c r="D221" s="67" t="s">
        <v>83</v>
      </c>
      <c r="E221" s="67" t="s">
        <v>89</v>
      </c>
      <c r="F221" s="67" t="s">
        <v>165</v>
      </c>
      <c r="G221" s="67" t="s">
        <v>86</v>
      </c>
      <c r="H221" s="67" t="s">
        <v>87</v>
      </c>
      <c r="I221" s="67" t="s">
        <v>50</v>
      </c>
      <c r="J221" s="67" t="s">
        <v>88</v>
      </c>
      <c r="K221" s="67"/>
      <c r="L221" s="68" t="s">
        <v>26</v>
      </c>
      <c r="M221" s="68">
        <f>--AND(Configuración!$B$6&lt;&gt;"",OR(E221="Todas",ISNUMBER(SEARCH(Configuración!$B$7,E221))),IF(L221="Monotributo",Configuración!$B$10="Sí",IF(L221="Autónomos",Configuración!$B$11="Sí",IF(L221="Responsable inscripto",Configuración!$B$12="Sí",IF(L221="Empleador",Configuración!$B$13="Sí",IF(L221="Casas particulares",Configuración!$B$14="Sí",IF(L221="Retenciones",Configuración!$B$15="Sí",IF(L221="Sociedad",Configuración!$B$16="Sí",IF(L221="Persona humana",Configuración!$B$17="Sí",IF(L221="Convenio Multilateral",Configuración!$B$18="Sí",FALSE()))))))))))</f>
        <v>0</v>
      </c>
      <c r="N221" s="68" t="str">
        <f>IF(M221=1,COUNTIF($M$2:M221,1),"")</f>
        <v/>
      </c>
      <c r="O221" s="50">
        <f t="shared" ca="1" si="12"/>
        <v>-15</v>
      </c>
      <c r="P221" s="17" t="str">
        <f t="shared" ca="1" si="13"/>
        <v>Vencido hace 15 días</v>
      </c>
      <c r="Q221" s="50">
        <f t="shared" si="14"/>
        <v>46238</v>
      </c>
      <c r="R221" s="17" t="str">
        <f>IF(M221=1,COUNTIFS($Q$2:Q221,Q221,$M$2:M221,1),"")</f>
        <v/>
      </c>
      <c r="S221" s="50" t="str">
        <f t="shared" si="15"/>
        <v/>
      </c>
    </row>
    <row r="222" spans="1:19" ht="45" customHeight="1" x14ac:dyDescent="0.35">
      <c r="A222" s="66">
        <v>46238</v>
      </c>
      <c r="B222" s="67" t="s">
        <v>91</v>
      </c>
      <c r="C222" s="67" t="s">
        <v>92</v>
      </c>
      <c r="D222" s="67" t="s">
        <v>93</v>
      </c>
      <c r="E222" s="67" t="s">
        <v>84</v>
      </c>
      <c r="F222" s="67" t="s">
        <v>165</v>
      </c>
      <c r="G222" s="67" t="s">
        <v>94</v>
      </c>
      <c r="H222" s="67" t="s">
        <v>87</v>
      </c>
      <c r="I222" s="67" t="s">
        <v>50</v>
      </c>
      <c r="J222" s="67" t="s">
        <v>88</v>
      </c>
      <c r="K222" s="67"/>
      <c r="L222" s="68" t="s">
        <v>95</v>
      </c>
      <c r="M222" s="68">
        <f>--AND(Configuración!$B$6&lt;&gt;"",OR(E222="Todas",ISNUMBER(SEARCH(Configuración!$B$7,E222))),IF(L222="Monotributo",Configuración!$B$10="Sí",IF(L222="Autónomos",Configuración!$B$11="Sí",IF(L222="Responsable inscripto",Configuración!$B$12="Sí",IF(L222="Empleador",Configuración!$B$13="Sí",IF(L222="Casas particulares",Configuración!$B$14="Sí",IF(L222="Retenciones",Configuración!$B$15="Sí",IF(L222="Sociedad",Configuración!$B$16="Sí",IF(L222="Persona humana",Configuración!$B$17="Sí",IF(L222="Convenio Multilateral",Configuración!$B$18="Sí",FALSE()))))))))))</f>
        <v>0</v>
      </c>
      <c r="N222" s="68" t="str">
        <f>IF(M222=1,COUNTIF($M$2:M222,1),"")</f>
        <v/>
      </c>
      <c r="O222" s="50">
        <f t="shared" ca="1" si="12"/>
        <v>-15</v>
      </c>
      <c r="P222" s="17" t="str">
        <f t="shared" ca="1" si="13"/>
        <v>Vencido hace 15 días</v>
      </c>
      <c r="Q222" s="50">
        <f t="shared" si="14"/>
        <v>46238</v>
      </c>
      <c r="R222" s="17" t="str">
        <f>IF(M222=1,COUNTIFS($Q$2:Q222,Q222,$M$2:M222,1),"")</f>
        <v/>
      </c>
      <c r="S222" s="50" t="str">
        <f t="shared" si="15"/>
        <v/>
      </c>
    </row>
    <row r="223" spans="1:19" ht="45" customHeight="1" x14ac:dyDescent="0.35">
      <c r="A223" s="66">
        <v>46239</v>
      </c>
      <c r="B223" s="67" t="s">
        <v>26</v>
      </c>
      <c r="C223" s="67" t="s">
        <v>82</v>
      </c>
      <c r="D223" s="67" t="s">
        <v>83</v>
      </c>
      <c r="E223" s="67" t="s">
        <v>90</v>
      </c>
      <c r="F223" s="67" t="s">
        <v>165</v>
      </c>
      <c r="G223" s="67" t="s">
        <v>86</v>
      </c>
      <c r="H223" s="67" t="s">
        <v>87</v>
      </c>
      <c r="I223" s="67" t="s">
        <v>50</v>
      </c>
      <c r="J223" s="67" t="s">
        <v>88</v>
      </c>
      <c r="K223" s="67"/>
      <c r="L223" s="68" t="s">
        <v>26</v>
      </c>
      <c r="M223" s="68">
        <f>--AND(Configuración!$B$6&lt;&gt;"",OR(E223="Todas",ISNUMBER(SEARCH(Configuración!$B$7,E223))),IF(L223="Monotributo",Configuración!$B$10="Sí",IF(L223="Autónomos",Configuración!$B$11="Sí",IF(L223="Responsable inscripto",Configuración!$B$12="Sí",IF(L223="Empleador",Configuración!$B$13="Sí",IF(L223="Casas particulares",Configuración!$B$14="Sí",IF(L223="Retenciones",Configuración!$B$15="Sí",IF(L223="Sociedad",Configuración!$B$16="Sí",IF(L223="Persona humana",Configuración!$B$17="Sí",IF(L223="Convenio Multilateral",Configuración!$B$18="Sí",FALSE()))))))))))</f>
        <v>0</v>
      </c>
      <c r="N223" s="68" t="str">
        <f>IF(M223=1,COUNTIF($M$2:M223,1),"")</f>
        <v/>
      </c>
      <c r="O223" s="50">
        <f t="shared" ca="1" si="12"/>
        <v>-14</v>
      </c>
      <c r="P223" s="17" t="str">
        <f t="shared" ca="1" si="13"/>
        <v>Vencido hace 14 días</v>
      </c>
      <c r="Q223" s="50">
        <f t="shared" si="14"/>
        <v>46239</v>
      </c>
      <c r="R223" s="17" t="str">
        <f>IF(M223=1,COUNTIFS($Q$2:Q223,Q223,$M$2:M223,1),"")</f>
        <v/>
      </c>
      <c r="S223" s="50" t="str">
        <f t="shared" si="15"/>
        <v/>
      </c>
    </row>
    <row r="224" spans="1:19" ht="30" customHeight="1" x14ac:dyDescent="0.35">
      <c r="A224" s="66">
        <v>46239</v>
      </c>
      <c r="B224" s="67" t="s">
        <v>24</v>
      </c>
      <c r="C224" s="67" t="s">
        <v>131</v>
      </c>
      <c r="D224" s="67" t="s">
        <v>127</v>
      </c>
      <c r="E224" s="67" t="s">
        <v>104</v>
      </c>
      <c r="F224" s="67" t="s">
        <v>177</v>
      </c>
      <c r="G224" s="67" t="s">
        <v>133</v>
      </c>
      <c r="H224" s="67" t="s">
        <v>87</v>
      </c>
      <c r="I224" s="67" t="s">
        <v>50</v>
      </c>
      <c r="J224" s="67" t="s">
        <v>134</v>
      </c>
      <c r="K224" s="67"/>
      <c r="L224" s="68" t="s">
        <v>24</v>
      </c>
      <c r="M224" s="68">
        <f>--AND(Configuración!$B$6&lt;&gt;"",OR(E224="Todas",ISNUMBER(SEARCH(Configuración!$B$7,E224))),IF(L224="Monotributo",Configuración!$B$10="Sí",IF(L224="Autónomos",Configuración!$B$11="Sí",IF(L224="Responsable inscripto",Configuración!$B$12="Sí",IF(L224="Empleador",Configuración!$B$13="Sí",IF(L224="Casas particulares",Configuración!$B$14="Sí",IF(L224="Retenciones",Configuración!$B$15="Sí",IF(L224="Sociedad",Configuración!$B$16="Sí",IF(L224="Persona humana",Configuración!$B$17="Sí",IF(L224="Convenio Multilateral",Configuración!$B$18="Sí",FALSE()))))))))))</f>
        <v>0</v>
      </c>
      <c r="N224" s="68" t="str">
        <f>IF(M224=1,COUNTIF($M$2:M224,1),"")</f>
        <v/>
      </c>
      <c r="O224" s="50">
        <f t="shared" ca="1" si="12"/>
        <v>-14</v>
      </c>
      <c r="P224" s="17" t="str">
        <f t="shared" ca="1" si="13"/>
        <v>Vencido hace 14 días</v>
      </c>
      <c r="Q224" s="50">
        <f t="shared" si="14"/>
        <v>46239</v>
      </c>
      <c r="R224" s="17" t="str">
        <f>IF(M224=1,COUNTIFS($Q$2:Q224,Q224,$M$2:M224,1),"")</f>
        <v/>
      </c>
      <c r="S224" s="50" t="str">
        <f t="shared" si="15"/>
        <v/>
      </c>
    </row>
    <row r="225" spans="1:19" ht="45" customHeight="1" x14ac:dyDescent="0.35">
      <c r="A225" s="66">
        <v>46239</v>
      </c>
      <c r="B225" s="67" t="s">
        <v>91</v>
      </c>
      <c r="C225" s="67" t="s">
        <v>92</v>
      </c>
      <c r="D225" s="67" t="s">
        <v>93</v>
      </c>
      <c r="E225" s="67" t="s">
        <v>89</v>
      </c>
      <c r="F225" s="67" t="s">
        <v>165</v>
      </c>
      <c r="G225" s="67" t="s">
        <v>94</v>
      </c>
      <c r="H225" s="67" t="s">
        <v>87</v>
      </c>
      <c r="I225" s="67" t="s">
        <v>50</v>
      </c>
      <c r="J225" s="67" t="s">
        <v>88</v>
      </c>
      <c r="K225" s="67"/>
      <c r="L225" s="68" t="s">
        <v>95</v>
      </c>
      <c r="M225" s="68">
        <f>--AND(Configuración!$B$6&lt;&gt;"",OR(E225="Todas",ISNUMBER(SEARCH(Configuración!$B$7,E225))),IF(L225="Monotributo",Configuración!$B$10="Sí",IF(L225="Autónomos",Configuración!$B$11="Sí",IF(L225="Responsable inscripto",Configuración!$B$12="Sí",IF(L225="Empleador",Configuración!$B$13="Sí",IF(L225="Casas particulares",Configuración!$B$14="Sí",IF(L225="Retenciones",Configuración!$B$15="Sí",IF(L225="Sociedad",Configuración!$B$16="Sí",IF(L225="Persona humana",Configuración!$B$17="Sí",IF(L225="Convenio Multilateral",Configuración!$B$18="Sí",FALSE()))))))))))</f>
        <v>0</v>
      </c>
      <c r="N225" s="68" t="str">
        <f>IF(M225=1,COUNTIF($M$2:M225,1),"")</f>
        <v/>
      </c>
      <c r="O225" s="50">
        <f t="shared" ca="1" si="12"/>
        <v>-14</v>
      </c>
      <c r="P225" s="17" t="str">
        <f t="shared" ca="1" si="13"/>
        <v>Vencido hace 14 días</v>
      </c>
      <c r="Q225" s="50">
        <f t="shared" si="14"/>
        <v>46239</v>
      </c>
      <c r="R225" s="17" t="str">
        <f>IF(M225=1,COUNTIFS($Q$2:Q225,Q225,$M$2:M225,1),"")</f>
        <v/>
      </c>
      <c r="S225" s="50" t="str">
        <f t="shared" si="15"/>
        <v/>
      </c>
    </row>
    <row r="226" spans="1:19" ht="45" customHeight="1" x14ac:dyDescent="0.35">
      <c r="A226" s="66">
        <v>46240</v>
      </c>
      <c r="B226" s="67" t="s">
        <v>91</v>
      </c>
      <c r="C226" s="67" t="s">
        <v>92</v>
      </c>
      <c r="D226" s="67" t="s">
        <v>93</v>
      </c>
      <c r="E226" s="67" t="s">
        <v>90</v>
      </c>
      <c r="F226" s="67" t="s">
        <v>165</v>
      </c>
      <c r="G226" s="67" t="s">
        <v>94</v>
      </c>
      <c r="H226" s="67" t="s">
        <v>87</v>
      </c>
      <c r="I226" s="67" t="s">
        <v>50</v>
      </c>
      <c r="J226" s="67" t="s">
        <v>88</v>
      </c>
      <c r="K226" s="67"/>
      <c r="L226" s="68" t="s">
        <v>95</v>
      </c>
      <c r="M226" s="68">
        <f>--AND(Configuración!$B$6&lt;&gt;"",OR(E226="Todas",ISNUMBER(SEARCH(Configuración!$B$7,E226))),IF(L226="Monotributo",Configuración!$B$10="Sí",IF(L226="Autónomos",Configuración!$B$11="Sí",IF(L226="Responsable inscripto",Configuración!$B$12="Sí",IF(L226="Empleador",Configuración!$B$13="Sí",IF(L226="Casas particulares",Configuración!$B$14="Sí",IF(L226="Retenciones",Configuración!$B$15="Sí",IF(L226="Sociedad",Configuración!$B$16="Sí",IF(L226="Persona humana",Configuración!$B$17="Sí",IF(L226="Convenio Multilateral",Configuración!$B$18="Sí",FALSE()))))))))))</f>
        <v>0</v>
      </c>
      <c r="N226" s="68" t="str">
        <f>IF(M226=1,COUNTIF($M$2:M226,1),"")</f>
        <v/>
      </c>
      <c r="O226" s="50">
        <f t="shared" ca="1" si="12"/>
        <v>-13</v>
      </c>
      <c r="P226" s="17" t="str">
        <f t="shared" ca="1" si="13"/>
        <v>Vencido hace 13 días</v>
      </c>
      <c r="Q226" s="50">
        <f t="shared" si="14"/>
        <v>46240</v>
      </c>
      <c r="R226" s="17" t="str">
        <f>IF(M226=1,COUNTIFS($Q$2:Q226,Q226,$M$2:M226,1),"")</f>
        <v/>
      </c>
      <c r="S226" s="50" t="str">
        <f t="shared" si="15"/>
        <v/>
      </c>
    </row>
    <row r="227" spans="1:19" ht="45" customHeight="1" x14ac:dyDescent="0.35">
      <c r="A227" s="66">
        <v>46241</v>
      </c>
      <c r="B227" s="67" t="s">
        <v>96</v>
      </c>
      <c r="C227" s="67" t="s">
        <v>97</v>
      </c>
      <c r="D227" s="67" t="s">
        <v>98</v>
      </c>
      <c r="E227" s="67" t="s">
        <v>84</v>
      </c>
      <c r="F227" s="67" t="s">
        <v>165</v>
      </c>
      <c r="G227" s="67" t="s">
        <v>94</v>
      </c>
      <c r="H227" s="67" t="s">
        <v>87</v>
      </c>
      <c r="I227" s="67" t="s">
        <v>50</v>
      </c>
      <c r="J227" s="67" t="s">
        <v>88</v>
      </c>
      <c r="K227" s="67"/>
      <c r="L227" s="68" t="s">
        <v>99</v>
      </c>
      <c r="M227" s="68">
        <f>--AND(Configuración!$B$6&lt;&gt;"",OR(E227="Todas",ISNUMBER(SEARCH(Configuración!$B$7,E227))),IF(L227="Monotributo",Configuración!$B$10="Sí",IF(L227="Autónomos",Configuración!$B$11="Sí",IF(L227="Responsable inscripto",Configuración!$B$12="Sí",IF(L227="Empleador",Configuración!$B$13="Sí",IF(L227="Casas particulares",Configuración!$B$14="Sí",IF(L227="Retenciones",Configuración!$B$15="Sí",IF(L227="Sociedad",Configuración!$B$16="Sí",IF(L227="Persona humana",Configuración!$B$17="Sí",IF(L227="Convenio Multilateral",Configuración!$B$18="Sí",FALSE()))))))))))</f>
        <v>0</v>
      </c>
      <c r="N227" s="68" t="str">
        <f>IF(M227=1,COUNTIF($M$2:M227,1),"")</f>
        <v/>
      </c>
      <c r="O227" s="50">
        <f t="shared" ca="1" si="12"/>
        <v>-12</v>
      </c>
      <c r="P227" s="17" t="str">
        <f t="shared" ca="1" si="13"/>
        <v>Vencido hace 12 días</v>
      </c>
      <c r="Q227" s="50">
        <f t="shared" si="14"/>
        <v>46241</v>
      </c>
      <c r="R227" s="17" t="str">
        <f>IF(M227=1,COUNTIFS($Q$2:Q227,Q227,$M$2:M227,1),"")</f>
        <v/>
      </c>
      <c r="S227" s="50" t="str">
        <f t="shared" si="15"/>
        <v/>
      </c>
    </row>
    <row r="228" spans="1:19" ht="45" customHeight="1" x14ac:dyDescent="0.35">
      <c r="A228" s="66">
        <v>46244</v>
      </c>
      <c r="B228" s="67" t="s">
        <v>29</v>
      </c>
      <c r="C228" s="67" t="s">
        <v>102</v>
      </c>
      <c r="D228" s="67" t="s">
        <v>103</v>
      </c>
      <c r="E228" s="67" t="s">
        <v>104</v>
      </c>
      <c r="F228" s="67" t="s">
        <v>165</v>
      </c>
      <c r="G228" s="67" t="s">
        <v>86</v>
      </c>
      <c r="H228" s="67" t="s">
        <v>87</v>
      </c>
      <c r="I228" s="67" t="s">
        <v>50</v>
      </c>
      <c r="J228" s="67" t="s">
        <v>88</v>
      </c>
      <c r="K228" s="67"/>
      <c r="L228" s="68" t="s">
        <v>29</v>
      </c>
      <c r="M228" s="68">
        <f>--AND(Configuración!$B$6&lt;&gt;"",OR(E228="Todas",ISNUMBER(SEARCH(Configuración!$B$7,E228))),IF(L228="Monotributo",Configuración!$B$10="Sí",IF(L228="Autónomos",Configuración!$B$11="Sí",IF(L228="Responsable inscripto",Configuración!$B$12="Sí",IF(L228="Empleador",Configuración!$B$13="Sí",IF(L228="Casas particulares",Configuración!$B$14="Sí",IF(L228="Retenciones",Configuración!$B$15="Sí",IF(L228="Sociedad",Configuración!$B$16="Sí",IF(L228="Persona humana",Configuración!$B$17="Sí",IF(L228="Convenio Multilateral",Configuración!$B$18="Sí",FALSE()))))))))))</f>
        <v>0</v>
      </c>
      <c r="N228" s="68" t="str">
        <f>IF(M228=1,COUNTIF($M$2:M228,1),"")</f>
        <v/>
      </c>
      <c r="O228" s="50">
        <f t="shared" ca="1" si="12"/>
        <v>-9</v>
      </c>
      <c r="P228" s="17" t="str">
        <f t="shared" ca="1" si="13"/>
        <v>Vencido hace 9 días</v>
      </c>
      <c r="Q228" s="50">
        <f t="shared" si="14"/>
        <v>46244</v>
      </c>
      <c r="R228" s="17" t="str">
        <f>IF(M228=1,COUNTIFS($Q$2:Q228,Q228,$M$2:M228,1),"")</f>
        <v/>
      </c>
      <c r="S228" s="50" t="str">
        <f t="shared" si="15"/>
        <v/>
      </c>
    </row>
    <row r="229" spans="1:19" ht="45" customHeight="1" x14ac:dyDescent="0.35">
      <c r="A229" s="66">
        <v>46244</v>
      </c>
      <c r="B229" s="67" t="s">
        <v>96</v>
      </c>
      <c r="C229" s="67" t="s">
        <v>97</v>
      </c>
      <c r="D229" s="67" t="s">
        <v>98</v>
      </c>
      <c r="E229" s="67" t="s">
        <v>89</v>
      </c>
      <c r="F229" s="67" t="s">
        <v>165</v>
      </c>
      <c r="G229" s="67" t="s">
        <v>94</v>
      </c>
      <c r="H229" s="67" t="s">
        <v>87</v>
      </c>
      <c r="I229" s="67" t="s">
        <v>50</v>
      </c>
      <c r="J229" s="67" t="s">
        <v>88</v>
      </c>
      <c r="K229" s="67"/>
      <c r="L229" s="68" t="s">
        <v>99</v>
      </c>
      <c r="M229" s="68">
        <f>--AND(Configuración!$B$6&lt;&gt;"",OR(E229="Todas",ISNUMBER(SEARCH(Configuración!$B$7,E229))),IF(L229="Monotributo",Configuración!$B$10="Sí",IF(L229="Autónomos",Configuración!$B$11="Sí",IF(L229="Responsable inscripto",Configuración!$B$12="Sí",IF(L229="Empleador",Configuración!$B$13="Sí",IF(L229="Casas particulares",Configuración!$B$14="Sí",IF(L229="Retenciones",Configuración!$B$15="Sí",IF(L229="Sociedad",Configuración!$B$16="Sí",IF(L229="Persona humana",Configuración!$B$17="Sí",IF(L229="Convenio Multilateral",Configuración!$B$18="Sí",FALSE()))))))))))</f>
        <v>0</v>
      </c>
      <c r="N229" s="68" t="str">
        <f>IF(M229=1,COUNTIF($M$2:M229,1),"")</f>
        <v/>
      </c>
      <c r="O229" s="50">
        <f t="shared" ca="1" si="12"/>
        <v>-9</v>
      </c>
      <c r="P229" s="17" t="str">
        <f t="shared" ca="1" si="13"/>
        <v>Vencido hace 9 días</v>
      </c>
      <c r="Q229" s="50">
        <f t="shared" si="14"/>
        <v>46244</v>
      </c>
      <c r="R229" s="17" t="str">
        <f>IF(M229=1,COUNTIFS($Q$2:Q229,Q229,$M$2:M229,1),"")</f>
        <v/>
      </c>
      <c r="S229" s="50" t="str">
        <f t="shared" si="15"/>
        <v/>
      </c>
    </row>
    <row r="230" spans="1:19" ht="45" customHeight="1" x14ac:dyDescent="0.35">
      <c r="A230" s="66">
        <v>46244</v>
      </c>
      <c r="B230" s="67" t="s">
        <v>96</v>
      </c>
      <c r="C230" s="67" t="s">
        <v>97</v>
      </c>
      <c r="D230" s="67" t="s">
        <v>98</v>
      </c>
      <c r="E230" s="67" t="s">
        <v>90</v>
      </c>
      <c r="F230" s="67" t="s">
        <v>165</v>
      </c>
      <c r="G230" s="67" t="s">
        <v>94</v>
      </c>
      <c r="H230" s="67" t="s">
        <v>87</v>
      </c>
      <c r="I230" s="67" t="s">
        <v>50</v>
      </c>
      <c r="J230" s="67" t="s">
        <v>88</v>
      </c>
      <c r="K230" s="67"/>
      <c r="L230" s="68" t="s">
        <v>99</v>
      </c>
      <c r="M230" s="68">
        <f>--AND(Configuración!$B$6&lt;&gt;"",OR(E230="Todas",ISNUMBER(SEARCH(Configuración!$B$7,E230))),IF(L230="Monotributo",Configuración!$B$10="Sí",IF(L230="Autónomos",Configuración!$B$11="Sí",IF(L230="Responsable inscripto",Configuración!$B$12="Sí",IF(L230="Empleador",Configuración!$B$13="Sí",IF(L230="Casas particulares",Configuración!$B$14="Sí",IF(L230="Retenciones",Configuración!$B$15="Sí",IF(L230="Sociedad",Configuración!$B$16="Sí",IF(L230="Persona humana",Configuración!$B$17="Sí",IF(L230="Convenio Multilateral",Configuración!$B$18="Sí",FALSE()))))))))))</f>
        <v>0</v>
      </c>
      <c r="N230" s="68" t="str">
        <f>IF(M230=1,COUNTIF($M$2:M230,1),"")</f>
        <v/>
      </c>
      <c r="O230" s="50">
        <f t="shared" ca="1" si="12"/>
        <v>-9</v>
      </c>
      <c r="P230" s="17" t="str">
        <f t="shared" ca="1" si="13"/>
        <v>Vencido hace 9 días</v>
      </c>
      <c r="Q230" s="50">
        <f t="shared" si="14"/>
        <v>46244</v>
      </c>
      <c r="R230" s="17" t="str">
        <f>IF(M230=1,COUNTIFS($Q$2:Q230,Q230,$M$2:M230,1),"")</f>
        <v/>
      </c>
      <c r="S230" s="50" t="str">
        <f t="shared" si="15"/>
        <v/>
      </c>
    </row>
    <row r="231" spans="1:19" ht="45" customHeight="1" x14ac:dyDescent="0.35">
      <c r="A231" s="66">
        <v>46244</v>
      </c>
      <c r="B231" s="67" t="s">
        <v>100</v>
      </c>
      <c r="C231" s="67" t="s">
        <v>101</v>
      </c>
      <c r="D231" s="67" t="s">
        <v>93</v>
      </c>
      <c r="E231" s="67" t="s">
        <v>84</v>
      </c>
      <c r="F231" s="67" t="s">
        <v>165</v>
      </c>
      <c r="G231" s="67" t="s">
        <v>94</v>
      </c>
      <c r="H231" s="67" t="s">
        <v>87</v>
      </c>
      <c r="I231" s="67" t="s">
        <v>50</v>
      </c>
      <c r="J231" s="67" t="s">
        <v>88</v>
      </c>
      <c r="K231" s="67"/>
      <c r="L231" s="68" t="s">
        <v>95</v>
      </c>
      <c r="M231" s="68">
        <f>--AND(Configuración!$B$6&lt;&gt;"",OR(E231="Todas",ISNUMBER(SEARCH(Configuración!$B$7,E231))),IF(L231="Monotributo",Configuración!$B$10="Sí",IF(L231="Autónomos",Configuración!$B$11="Sí",IF(L231="Responsable inscripto",Configuración!$B$12="Sí",IF(L231="Empleador",Configuración!$B$13="Sí",IF(L231="Casas particulares",Configuración!$B$14="Sí",IF(L231="Retenciones",Configuración!$B$15="Sí",IF(L231="Sociedad",Configuración!$B$16="Sí",IF(L231="Persona humana",Configuración!$B$17="Sí",IF(L231="Convenio Multilateral",Configuración!$B$18="Sí",FALSE()))))))))))</f>
        <v>0</v>
      </c>
      <c r="N231" s="68" t="str">
        <f>IF(M231=1,COUNTIF($M$2:M231,1),"")</f>
        <v/>
      </c>
      <c r="O231" s="50">
        <f t="shared" ca="1" si="12"/>
        <v>-9</v>
      </c>
      <c r="P231" s="17" t="str">
        <f t="shared" ca="1" si="13"/>
        <v>Vencido hace 9 días</v>
      </c>
      <c r="Q231" s="50">
        <f t="shared" si="14"/>
        <v>46244</v>
      </c>
      <c r="R231" s="17" t="str">
        <f>IF(M231=1,COUNTIFS($Q$2:Q231,Q231,$M$2:M231,1),"")</f>
        <v/>
      </c>
      <c r="S231" s="50" t="str">
        <f t="shared" si="15"/>
        <v/>
      </c>
    </row>
    <row r="232" spans="1:19" ht="45" customHeight="1" x14ac:dyDescent="0.35">
      <c r="A232" s="66">
        <v>46244</v>
      </c>
      <c r="B232" s="67" t="s">
        <v>100</v>
      </c>
      <c r="C232" s="67" t="s">
        <v>101</v>
      </c>
      <c r="D232" s="67" t="s">
        <v>93</v>
      </c>
      <c r="E232" s="67" t="s">
        <v>89</v>
      </c>
      <c r="F232" s="67" t="s">
        <v>165</v>
      </c>
      <c r="G232" s="67" t="s">
        <v>94</v>
      </c>
      <c r="H232" s="67" t="s">
        <v>87</v>
      </c>
      <c r="I232" s="67" t="s">
        <v>50</v>
      </c>
      <c r="J232" s="67" t="s">
        <v>88</v>
      </c>
      <c r="K232" s="67"/>
      <c r="L232" s="68" t="s">
        <v>95</v>
      </c>
      <c r="M232" s="68">
        <f>--AND(Configuración!$B$6&lt;&gt;"",OR(E232="Todas",ISNUMBER(SEARCH(Configuración!$B$7,E232))),IF(L232="Monotributo",Configuración!$B$10="Sí",IF(L232="Autónomos",Configuración!$B$11="Sí",IF(L232="Responsable inscripto",Configuración!$B$12="Sí",IF(L232="Empleador",Configuración!$B$13="Sí",IF(L232="Casas particulares",Configuración!$B$14="Sí",IF(L232="Retenciones",Configuración!$B$15="Sí",IF(L232="Sociedad",Configuración!$B$16="Sí",IF(L232="Persona humana",Configuración!$B$17="Sí",IF(L232="Convenio Multilateral",Configuración!$B$18="Sí",FALSE()))))))))))</f>
        <v>0</v>
      </c>
      <c r="N232" s="68" t="str">
        <f>IF(M232=1,COUNTIF($M$2:M232,1),"")</f>
        <v/>
      </c>
      <c r="O232" s="50">
        <f t="shared" ca="1" si="12"/>
        <v>-9</v>
      </c>
      <c r="P232" s="17" t="str">
        <f t="shared" ca="1" si="13"/>
        <v>Vencido hace 9 días</v>
      </c>
      <c r="Q232" s="50">
        <f t="shared" si="14"/>
        <v>46244</v>
      </c>
      <c r="R232" s="17" t="str">
        <f>IF(M232=1,COUNTIFS($Q$2:Q232,Q232,$M$2:M232,1),"")</f>
        <v/>
      </c>
      <c r="S232" s="50" t="str">
        <f t="shared" si="15"/>
        <v/>
      </c>
    </row>
    <row r="233" spans="1:19" ht="45" customHeight="1" x14ac:dyDescent="0.35">
      <c r="A233" s="66">
        <v>46245</v>
      </c>
      <c r="B233" s="67" t="s">
        <v>100</v>
      </c>
      <c r="C233" s="67" t="s">
        <v>101</v>
      </c>
      <c r="D233" s="67" t="s">
        <v>93</v>
      </c>
      <c r="E233" s="67" t="s">
        <v>90</v>
      </c>
      <c r="F233" s="67" t="s">
        <v>165</v>
      </c>
      <c r="G233" s="67" t="s">
        <v>94</v>
      </c>
      <c r="H233" s="67" t="s">
        <v>87</v>
      </c>
      <c r="I233" s="67" t="s">
        <v>50</v>
      </c>
      <c r="J233" s="67" t="s">
        <v>88</v>
      </c>
      <c r="K233" s="67"/>
      <c r="L233" s="68" t="s">
        <v>95</v>
      </c>
      <c r="M233" s="68">
        <f>--AND(Configuración!$B$6&lt;&gt;"",OR(E233="Todas",ISNUMBER(SEARCH(Configuración!$B$7,E233))),IF(L233="Monotributo",Configuración!$B$10="Sí",IF(L233="Autónomos",Configuración!$B$11="Sí",IF(L233="Responsable inscripto",Configuración!$B$12="Sí",IF(L233="Empleador",Configuración!$B$13="Sí",IF(L233="Casas particulares",Configuración!$B$14="Sí",IF(L233="Retenciones",Configuración!$B$15="Sí",IF(L233="Sociedad",Configuración!$B$16="Sí",IF(L233="Persona humana",Configuración!$B$17="Sí",IF(L233="Convenio Multilateral",Configuración!$B$18="Sí",FALSE()))))))))))</f>
        <v>0</v>
      </c>
      <c r="N233" s="68" t="str">
        <f>IF(M233=1,COUNTIF($M$2:M233,1),"")</f>
        <v/>
      </c>
      <c r="O233" s="50">
        <f t="shared" ca="1" si="12"/>
        <v>-8</v>
      </c>
      <c r="P233" s="17" t="str">
        <f t="shared" ca="1" si="13"/>
        <v>Vencido hace 8 días</v>
      </c>
      <c r="Q233" s="50">
        <f t="shared" si="14"/>
        <v>46245</v>
      </c>
      <c r="R233" s="17" t="str">
        <f>IF(M233=1,COUNTIFS($Q$2:Q233,Q233,$M$2:M233,1),"")</f>
        <v/>
      </c>
      <c r="S233" s="50" t="str">
        <f t="shared" si="15"/>
        <v/>
      </c>
    </row>
    <row r="234" spans="1:19" ht="45" customHeight="1" x14ac:dyDescent="0.35">
      <c r="A234" s="66">
        <v>46247.625</v>
      </c>
      <c r="B234" s="67" t="s">
        <v>105</v>
      </c>
      <c r="C234" s="67" t="s">
        <v>106</v>
      </c>
      <c r="D234" s="67" t="s">
        <v>107</v>
      </c>
      <c r="E234" s="67" t="s">
        <v>84</v>
      </c>
      <c r="F234" s="67" t="s">
        <v>154</v>
      </c>
      <c r="G234" s="67" t="s">
        <v>109</v>
      </c>
      <c r="H234" s="67" t="s">
        <v>87</v>
      </c>
      <c r="I234" s="67" t="s">
        <v>50</v>
      </c>
      <c r="J234" s="67" t="s">
        <v>110</v>
      </c>
      <c r="K234" s="67" t="s">
        <v>111</v>
      </c>
      <c r="L234" s="68" t="s">
        <v>112</v>
      </c>
      <c r="M234" s="68">
        <f>--AND(Configuración!$B$6&lt;&gt;"",OR(E234="Todas",ISNUMBER(SEARCH(Configuración!$B$7,E234))),IF(L234="Monotributo",Configuración!$B$10="Sí",IF(L234="Autónomos",Configuración!$B$11="Sí",IF(L234="Responsable inscripto",Configuración!$B$12="Sí",IF(L234="Empleador",Configuración!$B$13="Sí",IF(L234="Casas particulares",Configuración!$B$14="Sí",IF(L234="Retenciones",Configuración!$B$15="Sí",IF(L234="Sociedad",Configuración!$B$16="Sí",IF(L234="Persona humana",Configuración!$B$17="Sí",IF(L234="Convenio Multilateral",Configuración!$B$18="Sí",FALSE()))))))))))</f>
        <v>0</v>
      </c>
      <c r="N234" s="68" t="str">
        <f>IF(M234=1,COUNTIF($M$2:M234,1),"")</f>
        <v/>
      </c>
      <c r="O234" s="50">
        <f t="shared" ca="1" si="12"/>
        <v>-6</v>
      </c>
      <c r="P234" s="17" t="str">
        <f t="shared" ca="1" si="13"/>
        <v>Vencido hace 6 días</v>
      </c>
      <c r="Q234" s="50">
        <f t="shared" si="14"/>
        <v>46247</v>
      </c>
      <c r="R234" s="17" t="str">
        <f>IF(M234=1,COUNTIFS($Q$2:Q234,Q234,$M$2:M234,1),"")</f>
        <v/>
      </c>
      <c r="S234" s="50" t="str">
        <f t="shared" si="15"/>
        <v/>
      </c>
    </row>
    <row r="235" spans="1:19" ht="45" customHeight="1" x14ac:dyDescent="0.35">
      <c r="A235" s="66">
        <v>46248.625</v>
      </c>
      <c r="B235" s="67" t="s">
        <v>105</v>
      </c>
      <c r="C235" s="67" t="s">
        <v>106</v>
      </c>
      <c r="D235" s="67" t="s">
        <v>107</v>
      </c>
      <c r="E235" s="67" t="s">
        <v>89</v>
      </c>
      <c r="F235" s="67" t="s">
        <v>154</v>
      </c>
      <c r="G235" s="67" t="s">
        <v>109</v>
      </c>
      <c r="H235" s="67" t="s">
        <v>87</v>
      </c>
      <c r="I235" s="67" t="s">
        <v>50</v>
      </c>
      <c r="J235" s="67" t="s">
        <v>110</v>
      </c>
      <c r="K235" s="67" t="s">
        <v>111</v>
      </c>
      <c r="L235" s="68" t="s">
        <v>112</v>
      </c>
      <c r="M235" s="68">
        <f>--AND(Configuración!$B$6&lt;&gt;"",OR(E235="Todas",ISNUMBER(SEARCH(Configuración!$B$7,E235))),IF(L235="Monotributo",Configuración!$B$10="Sí",IF(L235="Autónomos",Configuración!$B$11="Sí",IF(L235="Responsable inscripto",Configuración!$B$12="Sí",IF(L235="Empleador",Configuración!$B$13="Sí",IF(L235="Casas particulares",Configuración!$B$14="Sí",IF(L235="Retenciones",Configuración!$B$15="Sí",IF(L235="Sociedad",Configuración!$B$16="Sí",IF(L235="Persona humana",Configuración!$B$17="Sí",IF(L235="Convenio Multilateral",Configuración!$B$18="Sí",FALSE()))))))))))</f>
        <v>0</v>
      </c>
      <c r="N235" s="68" t="str">
        <f>IF(M235=1,COUNTIF($M$2:M235,1),"")</f>
        <v/>
      </c>
      <c r="O235" s="50">
        <f t="shared" ca="1" si="12"/>
        <v>-5</v>
      </c>
      <c r="P235" s="17" t="str">
        <f t="shared" ca="1" si="13"/>
        <v>Vencido hace 5 días</v>
      </c>
      <c r="Q235" s="50">
        <f t="shared" si="14"/>
        <v>46248</v>
      </c>
      <c r="R235" s="17" t="str">
        <f>IF(M235=1,COUNTIFS($Q$2:Q235,Q235,$M$2:M235,1),"")</f>
        <v/>
      </c>
      <c r="S235" s="50" t="str">
        <f t="shared" si="15"/>
        <v/>
      </c>
    </row>
    <row r="236" spans="1:19" ht="45" customHeight="1" x14ac:dyDescent="0.35">
      <c r="A236" s="66">
        <v>46248.625</v>
      </c>
      <c r="B236" s="67" t="s">
        <v>137</v>
      </c>
      <c r="C236" s="67" t="s">
        <v>138</v>
      </c>
      <c r="D236" s="67" t="s">
        <v>139</v>
      </c>
      <c r="E236" s="67" t="s">
        <v>140</v>
      </c>
      <c r="F236" s="67" t="s">
        <v>178</v>
      </c>
      <c r="G236" s="67" t="s">
        <v>94</v>
      </c>
      <c r="H236" s="67" t="s">
        <v>142</v>
      </c>
      <c r="I236" s="67" t="s">
        <v>50</v>
      </c>
      <c r="J236" s="67" t="s">
        <v>150</v>
      </c>
      <c r="K236" s="67" t="s">
        <v>151</v>
      </c>
      <c r="L236" s="68" t="s">
        <v>33</v>
      </c>
      <c r="M236" s="68">
        <f>--AND(Configuración!$B$6&lt;&gt;"",OR(E236="Todas",ISNUMBER(SEARCH(Configuración!$B$7,E236))),IF(L236="Monotributo",Configuración!$B$10="Sí",IF(L236="Autónomos",Configuración!$B$11="Sí",IF(L236="Responsable inscripto",Configuración!$B$12="Sí",IF(L236="Empleador",Configuración!$B$13="Sí",IF(L236="Casas particulares",Configuración!$B$14="Sí",IF(L236="Retenciones",Configuración!$B$15="Sí",IF(L236="Sociedad",Configuración!$B$16="Sí",IF(L236="Persona humana",Configuración!$B$17="Sí",IF(L236="Convenio Multilateral",Configuración!$B$18="Sí",FALSE()))))))))))</f>
        <v>0</v>
      </c>
      <c r="N236" s="68" t="str">
        <f>IF(M236=1,COUNTIF($M$2:M236,1),"")</f>
        <v/>
      </c>
      <c r="O236" s="50">
        <f t="shared" ca="1" si="12"/>
        <v>-5</v>
      </c>
      <c r="P236" s="17" t="str">
        <f t="shared" ca="1" si="13"/>
        <v>Vencido hace 5 días</v>
      </c>
      <c r="Q236" s="50">
        <f t="shared" si="14"/>
        <v>46248</v>
      </c>
      <c r="R236" s="17" t="str">
        <f>IF(M236=1,COUNTIFS($Q$2:Q236,Q236,$M$2:M236,1),"")</f>
        <v/>
      </c>
      <c r="S236" s="50" t="str">
        <f t="shared" si="15"/>
        <v/>
      </c>
    </row>
    <row r="237" spans="1:19" ht="45" customHeight="1" x14ac:dyDescent="0.35">
      <c r="A237" s="66">
        <v>46252</v>
      </c>
      <c r="B237" s="67" t="s">
        <v>29</v>
      </c>
      <c r="C237" s="67" t="s">
        <v>113</v>
      </c>
      <c r="D237" s="67" t="s">
        <v>114</v>
      </c>
      <c r="E237" s="67" t="s">
        <v>104</v>
      </c>
      <c r="F237" s="67" t="s">
        <v>165</v>
      </c>
      <c r="G237" s="67" t="s">
        <v>86</v>
      </c>
      <c r="H237" s="67" t="s">
        <v>87</v>
      </c>
      <c r="I237" s="67" t="s">
        <v>50</v>
      </c>
      <c r="J237" s="67" t="s">
        <v>88</v>
      </c>
      <c r="K237" s="67"/>
      <c r="L237" s="68" t="s">
        <v>29</v>
      </c>
      <c r="M237" s="68">
        <f>--AND(Configuración!$B$6&lt;&gt;"",OR(E237="Todas",ISNUMBER(SEARCH(Configuración!$B$7,E237))),IF(L237="Monotributo",Configuración!$B$10="Sí",IF(L237="Autónomos",Configuración!$B$11="Sí",IF(L237="Responsable inscripto",Configuración!$B$12="Sí",IF(L237="Empleador",Configuración!$B$13="Sí",IF(L237="Casas particulares",Configuración!$B$14="Sí",IF(L237="Retenciones",Configuración!$B$15="Sí",IF(L237="Sociedad",Configuración!$B$16="Sí",IF(L237="Persona humana",Configuración!$B$17="Sí",IF(L237="Convenio Multilateral",Configuración!$B$18="Sí",FALSE()))))))))))</f>
        <v>0</v>
      </c>
      <c r="N237" s="68" t="str">
        <f>IF(M237=1,COUNTIF($M$2:M237,1),"")</f>
        <v/>
      </c>
      <c r="O237" s="50">
        <f t="shared" ca="1" si="12"/>
        <v>-1</v>
      </c>
      <c r="P237" s="17" t="str">
        <f t="shared" ca="1" si="13"/>
        <v>Vencido hace 1 día</v>
      </c>
      <c r="Q237" s="50">
        <f t="shared" si="14"/>
        <v>46252</v>
      </c>
      <c r="R237" s="17" t="str">
        <f>IF(M237=1,COUNTIFS($Q$2:Q237,Q237,$M$2:M237,1),"")</f>
        <v/>
      </c>
      <c r="S237" s="50" t="str">
        <f t="shared" si="15"/>
        <v/>
      </c>
    </row>
    <row r="238" spans="1:19" ht="45" customHeight="1" x14ac:dyDescent="0.35">
      <c r="A238" s="66">
        <v>46252</v>
      </c>
      <c r="B238" s="67" t="s">
        <v>115</v>
      </c>
      <c r="C238" s="67" t="s">
        <v>116</v>
      </c>
      <c r="D238" s="67" t="s">
        <v>117</v>
      </c>
      <c r="E238" s="67" t="s">
        <v>84</v>
      </c>
      <c r="F238" s="67" t="s">
        <v>165</v>
      </c>
      <c r="G238" s="67" t="s">
        <v>94</v>
      </c>
      <c r="H238" s="67" t="s">
        <v>87</v>
      </c>
      <c r="I238" s="67" t="s">
        <v>50</v>
      </c>
      <c r="J238" s="67" t="s">
        <v>88</v>
      </c>
      <c r="K238" s="67"/>
      <c r="L238" s="68" t="s">
        <v>118</v>
      </c>
      <c r="M238" s="68">
        <f>--AND(Configuración!$B$6&lt;&gt;"",OR(E238="Todas",ISNUMBER(SEARCH(Configuración!$B$7,E238))),IF(L238="Monotributo",Configuración!$B$10="Sí",IF(L238="Autónomos",Configuración!$B$11="Sí",IF(L238="Responsable inscripto",Configuración!$B$12="Sí",IF(L238="Empleador",Configuración!$B$13="Sí",IF(L238="Casas particulares",Configuración!$B$14="Sí",IF(L238="Retenciones",Configuración!$B$15="Sí",IF(L238="Sociedad",Configuración!$B$16="Sí",IF(L238="Persona humana",Configuración!$B$17="Sí",IF(L238="Convenio Multilateral",Configuración!$B$18="Sí",FALSE()))))))))))</f>
        <v>0</v>
      </c>
      <c r="N238" s="68" t="str">
        <f>IF(M238=1,COUNTIF($M$2:M238,1),"")</f>
        <v/>
      </c>
      <c r="O238" s="50">
        <f t="shared" ca="1" si="12"/>
        <v>-1</v>
      </c>
      <c r="P238" s="17" t="str">
        <f t="shared" ca="1" si="13"/>
        <v>Vencido hace 1 día</v>
      </c>
      <c r="Q238" s="50">
        <f t="shared" si="14"/>
        <v>46252</v>
      </c>
      <c r="R238" s="17" t="str">
        <f>IF(M238=1,COUNTIFS($Q$2:Q238,Q238,$M$2:M238,1),"")</f>
        <v/>
      </c>
      <c r="S238" s="50" t="str">
        <f t="shared" si="15"/>
        <v/>
      </c>
    </row>
    <row r="239" spans="1:19" ht="45" customHeight="1" x14ac:dyDescent="0.35">
      <c r="A239" s="66">
        <v>46252</v>
      </c>
      <c r="B239" s="67" t="s">
        <v>119</v>
      </c>
      <c r="C239" s="67" t="s">
        <v>120</v>
      </c>
      <c r="D239" s="67" t="s">
        <v>121</v>
      </c>
      <c r="E239" s="67" t="s">
        <v>84</v>
      </c>
      <c r="F239" s="67" t="s">
        <v>165</v>
      </c>
      <c r="G239" s="67" t="s">
        <v>94</v>
      </c>
      <c r="H239" s="67" t="s">
        <v>87</v>
      </c>
      <c r="I239" s="67" t="s">
        <v>50</v>
      </c>
      <c r="J239" s="67" t="s">
        <v>88</v>
      </c>
      <c r="K239" s="67"/>
      <c r="L239" s="68" t="s">
        <v>118</v>
      </c>
      <c r="M239" s="68">
        <f>--AND(Configuración!$B$6&lt;&gt;"",OR(E239="Todas",ISNUMBER(SEARCH(Configuración!$B$7,E239))),IF(L239="Monotributo",Configuración!$B$10="Sí",IF(L239="Autónomos",Configuración!$B$11="Sí",IF(L239="Responsable inscripto",Configuración!$B$12="Sí",IF(L239="Empleador",Configuración!$B$13="Sí",IF(L239="Casas particulares",Configuración!$B$14="Sí",IF(L239="Retenciones",Configuración!$B$15="Sí",IF(L239="Sociedad",Configuración!$B$16="Sí",IF(L239="Persona humana",Configuración!$B$17="Sí",IF(L239="Convenio Multilateral",Configuración!$B$18="Sí",FALSE()))))))))))</f>
        <v>0</v>
      </c>
      <c r="N239" s="68" t="str">
        <f>IF(M239=1,COUNTIF($M$2:M239,1),"")</f>
        <v/>
      </c>
      <c r="O239" s="50">
        <f t="shared" ca="1" si="12"/>
        <v>-1</v>
      </c>
      <c r="P239" s="17" t="str">
        <f t="shared" ca="1" si="13"/>
        <v>Vencido hace 1 día</v>
      </c>
      <c r="Q239" s="50">
        <f t="shared" si="14"/>
        <v>46252</v>
      </c>
      <c r="R239" s="17" t="str">
        <f>IF(M239=1,COUNTIFS($Q$2:Q239,Q239,$M$2:M239,1),"")</f>
        <v/>
      </c>
      <c r="S239" s="50" t="str">
        <f t="shared" si="15"/>
        <v/>
      </c>
    </row>
    <row r="240" spans="1:19" ht="45" customHeight="1" x14ac:dyDescent="0.35">
      <c r="A240" s="66">
        <v>46252</v>
      </c>
      <c r="B240" s="67" t="s">
        <v>122</v>
      </c>
      <c r="C240" s="67" t="s">
        <v>123</v>
      </c>
      <c r="D240" s="67" t="s">
        <v>124</v>
      </c>
      <c r="E240" s="67" t="s">
        <v>84</v>
      </c>
      <c r="F240" s="67" t="s">
        <v>165</v>
      </c>
      <c r="G240" s="67" t="s">
        <v>109</v>
      </c>
      <c r="H240" s="67" t="s">
        <v>87</v>
      </c>
      <c r="I240" s="67" t="s">
        <v>50</v>
      </c>
      <c r="J240" s="67" t="s">
        <v>88</v>
      </c>
      <c r="K240" s="67" t="s">
        <v>125</v>
      </c>
      <c r="L240" s="68" t="s">
        <v>118</v>
      </c>
      <c r="M240" s="68">
        <f>--AND(Configuración!$B$6&lt;&gt;"",OR(E240="Todas",ISNUMBER(SEARCH(Configuración!$B$7,E240))),IF(L240="Monotributo",Configuración!$B$10="Sí",IF(L240="Autónomos",Configuración!$B$11="Sí",IF(L240="Responsable inscripto",Configuración!$B$12="Sí",IF(L240="Empleador",Configuración!$B$13="Sí",IF(L240="Casas particulares",Configuración!$B$14="Sí",IF(L240="Retenciones",Configuración!$B$15="Sí",IF(L240="Sociedad",Configuración!$B$16="Sí",IF(L240="Persona humana",Configuración!$B$17="Sí",IF(L240="Convenio Multilateral",Configuración!$B$18="Sí",FALSE()))))))))))</f>
        <v>0</v>
      </c>
      <c r="N240" s="68" t="str">
        <f>IF(M240=1,COUNTIF($M$2:M240,1),"")</f>
        <v/>
      </c>
      <c r="O240" s="50">
        <f t="shared" ca="1" si="12"/>
        <v>-1</v>
      </c>
      <c r="P240" s="17" t="str">
        <f t="shared" ca="1" si="13"/>
        <v>Vencido hace 1 día</v>
      </c>
      <c r="Q240" s="50">
        <f t="shared" si="14"/>
        <v>46252</v>
      </c>
      <c r="R240" s="17" t="str">
        <f>IF(M240=1,COUNTIFS($Q$2:Q240,Q240,$M$2:M240,1),"")</f>
        <v/>
      </c>
      <c r="S240" s="50" t="str">
        <f t="shared" si="15"/>
        <v/>
      </c>
    </row>
    <row r="241" spans="1:19" ht="45" customHeight="1" x14ac:dyDescent="0.35">
      <c r="A241" s="66">
        <v>46252.625</v>
      </c>
      <c r="B241" s="67" t="s">
        <v>105</v>
      </c>
      <c r="C241" s="67" t="s">
        <v>106</v>
      </c>
      <c r="D241" s="67" t="s">
        <v>107</v>
      </c>
      <c r="E241" s="67" t="s">
        <v>90</v>
      </c>
      <c r="F241" s="67" t="s">
        <v>154</v>
      </c>
      <c r="G241" s="67" t="s">
        <v>109</v>
      </c>
      <c r="H241" s="67" t="s">
        <v>87</v>
      </c>
      <c r="I241" s="67" t="s">
        <v>50</v>
      </c>
      <c r="J241" s="67" t="s">
        <v>110</v>
      </c>
      <c r="K241" s="67" t="s">
        <v>111</v>
      </c>
      <c r="L241" s="68" t="s">
        <v>112</v>
      </c>
      <c r="M241" s="68">
        <f>--AND(Configuración!$B$6&lt;&gt;"",OR(E241="Todas",ISNUMBER(SEARCH(Configuración!$B$7,E241))),IF(L241="Monotributo",Configuración!$B$10="Sí",IF(L241="Autónomos",Configuración!$B$11="Sí",IF(L241="Responsable inscripto",Configuración!$B$12="Sí",IF(L241="Empleador",Configuración!$B$13="Sí",IF(L241="Casas particulares",Configuración!$B$14="Sí",IF(L241="Retenciones",Configuración!$B$15="Sí",IF(L241="Sociedad",Configuración!$B$16="Sí",IF(L241="Persona humana",Configuración!$B$17="Sí",IF(L241="Convenio Multilateral",Configuración!$B$18="Sí",FALSE()))))))))))</f>
        <v>0</v>
      </c>
      <c r="N241" s="68" t="str">
        <f>IF(M241=1,COUNTIF($M$2:M241,1),"")</f>
        <v/>
      </c>
      <c r="O241" s="50">
        <f t="shared" ca="1" si="12"/>
        <v>-1</v>
      </c>
      <c r="P241" s="17" t="str">
        <f t="shared" ca="1" si="13"/>
        <v>Vencido hace 1 día</v>
      </c>
      <c r="Q241" s="50">
        <f t="shared" si="14"/>
        <v>46252</v>
      </c>
      <c r="R241" s="17" t="str">
        <f>IF(M241=1,COUNTIFS($Q$2:Q241,Q241,$M$2:M241,1),"")</f>
        <v/>
      </c>
      <c r="S241" s="50" t="str">
        <f t="shared" si="15"/>
        <v/>
      </c>
    </row>
    <row r="242" spans="1:19" ht="45" customHeight="1" x14ac:dyDescent="0.35">
      <c r="A242" s="66">
        <v>46252.625</v>
      </c>
      <c r="B242" s="67" t="s">
        <v>137</v>
      </c>
      <c r="C242" s="67" t="s">
        <v>138</v>
      </c>
      <c r="D242" s="67" t="s">
        <v>139</v>
      </c>
      <c r="E242" s="67" t="s">
        <v>145</v>
      </c>
      <c r="F242" s="67" t="s">
        <v>178</v>
      </c>
      <c r="G242" s="67" t="s">
        <v>94</v>
      </c>
      <c r="H242" s="67" t="s">
        <v>142</v>
      </c>
      <c r="I242" s="67" t="s">
        <v>50</v>
      </c>
      <c r="J242" s="67" t="s">
        <v>150</v>
      </c>
      <c r="K242" s="67" t="s">
        <v>151</v>
      </c>
      <c r="L242" s="68" t="s">
        <v>33</v>
      </c>
      <c r="M242" s="68">
        <f>--AND(Configuración!$B$6&lt;&gt;"",OR(E242="Todas",ISNUMBER(SEARCH(Configuración!$B$7,E242))),IF(L242="Monotributo",Configuración!$B$10="Sí",IF(L242="Autónomos",Configuración!$B$11="Sí",IF(L242="Responsable inscripto",Configuración!$B$12="Sí",IF(L242="Empleador",Configuración!$B$13="Sí",IF(L242="Casas particulares",Configuración!$B$14="Sí",IF(L242="Retenciones",Configuración!$B$15="Sí",IF(L242="Sociedad",Configuración!$B$16="Sí",IF(L242="Persona humana",Configuración!$B$17="Sí",IF(L242="Convenio Multilateral",Configuración!$B$18="Sí",FALSE()))))))))))</f>
        <v>0</v>
      </c>
      <c r="N242" s="68" t="str">
        <f>IF(M242=1,COUNTIF($M$2:M242,1),"")</f>
        <v/>
      </c>
      <c r="O242" s="50">
        <f t="shared" ca="1" si="12"/>
        <v>-1</v>
      </c>
      <c r="P242" s="17" t="str">
        <f t="shared" ca="1" si="13"/>
        <v>Vencido hace 1 día</v>
      </c>
      <c r="Q242" s="50">
        <f t="shared" si="14"/>
        <v>46252</v>
      </c>
      <c r="R242" s="17" t="str">
        <f>IF(M242=1,COUNTIFS($Q$2:Q242,Q242,$M$2:M242,1),"")</f>
        <v/>
      </c>
      <c r="S242" s="50" t="str">
        <f t="shared" si="15"/>
        <v/>
      </c>
    </row>
    <row r="243" spans="1:19" ht="45" customHeight="1" x14ac:dyDescent="0.35">
      <c r="A243" s="66">
        <v>46253</v>
      </c>
      <c r="B243" s="67" t="s">
        <v>115</v>
      </c>
      <c r="C243" s="67" t="s">
        <v>116</v>
      </c>
      <c r="D243" s="67" t="s">
        <v>117</v>
      </c>
      <c r="E243" s="67" t="s">
        <v>89</v>
      </c>
      <c r="F243" s="67" t="s">
        <v>165</v>
      </c>
      <c r="G243" s="67" t="s">
        <v>94</v>
      </c>
      <c r="H243" s="67" t="s">
        <v>87</v>
      </c>
      <c r="I243" s="67" t="s">
        <v>50</v>
      </c>
      <c r="J243" s="67" t="s">
        <v>88</v>
      </c>
      <c r="K243" s="67"/>
      <c r="L243" s="68" t="s">
        <v>118</v>
      </c>
      <c r="M243" s="68">
        <f>--AND(Configuración!$B$6&lt;&gt;"",OR(E243="Todas",ISNUMBER(SEARCH(Configuración!$B$7,E243))),IF(L243="Monotributo",Configuración!$B$10="Sí",IF(L243="Autónomos",Configuración!$B$11="Sí",IF(L243="Responsable inscripto",Configuración!$B$12="Sí",IF(L243="Empleador",Configuración!$B$13="Sí",IF(L243="Casas particulares",Configuración!$B$14="Sí",IF(L243="Retenciones",Configuración!$B$15="Sí",IF(L243="Sociedad",Configuración!$B$16="Sí",IF(L243="Persona humana",Configuración!$B$17="Sí",IF(L243="Convenio Multilateral",Configuración!$B$18="Sí",FALSE()))))))))))</f>
        <v>0</v>
      </c>
      <c r="N243" s="68" t="str">
        <f>IF(M243=1,COUNTIF($M$2:M243,1),"")</f>
        <v/>
      </c>
      <c r="O243" s="50">
        <f t="shared" ca="1" si="12"/>
        <v>0</v>
      </c>
      <c r="P243" s="17" t="str">
        <f t="shared" ca="1" si="13"/>
        <v>Vence hoy</v>
      </c>
      <c r="Q243" s="50">
        <f t="shared" si="14"/>
        <v>46253</v>
      </c>
      <c r="R243" s="17" t="str">
        <f>IF(M243=1,COUNTIFS($Q$2:Q243,Q243,$M$2:M243,1),"")</f>
        <v/>
      </c>
      <c r="S243" s="50" t="str">
        <f t="shared" si="15"/>
        <v/>
      </c>
    </row>
    <row r="244" spans="1:19" ht="45" customHeight="1" x14ac:dyDescent="0.35">
      <c r="A244" s="66">
        <v>46253</v>
      </c>
      <c r="B244" s="67" t="s">
        <v>119</v>
      </c>
      <c r="C244" s="67" t="s">
        <v>120</v>
      </c>
      <c r="D244" s="67" t="s">
        <v>121</v>
      </c>
      <c r="E244" s="67" t="s">
        <v>89</v>
      </c>
      <c r="F244" s="67" t="s">
        <v>165</v>
      </c>
      <c r="G244" s="67" t="s">
        <v>94</v>
      </c>
      <c r="H244" s="67" t="s">
        <v>87</v>
      </c>
      <c r="I244" s="67" t="s">
        <v>50</v>
      </c>
      <c r="J244" s="67" t="s">
        <v>88</v>
      </c>
      <c r="K244" s="67"/>
      <c r="L244" s="68" t="s">
        <v>118</v>
      </c>
      <c r="M244" s="68">
        <f>--AND(Configuración!$B$6&lt;&gt;"",OR(E244="Todas",ISNUMBER(SEARCH(Configuración!$B$7,E244))),IF(L244="Monotributo",Configuración!$B$10="Sí",IF(L244="Autónomos",Configuración!$B$11="Sí",IF(L244="Responsable inscripto",Configuración!$B$12="Sí",IF(L244="Empleador",Configuración!$B$13="Sí",IF(L244="Casas particulares",Configuración!$B$14="Sí",IF(L244="Retenciones",Configuración!$B$15="Sí",IF(L244="Sociedad",Configuración!$B$16="Sí",IF(L244="Persona humana",Configuración!$B$17="Sí",IF(L244="Convenio Multilateral",Configuración!$B$18="Sí",FALSE()))))))))))</f>
        <v>0</v>
      </c>
      <c r="N244" s="68" t="str">
        <f>IF(M244=1,COUNTIF($M$2:M244,1),"")</f>
        <v/>
      </c>
      <c r="O244" s="50">
        <f t="shared" ca="1" si="12"/>
        <v>0</v>
      </c>
      <c r="P244" s="17" t="str">
        <f t="shared" ca="1" si="13"/>
        <v>Vence hoy</v>
      </c>
      <c r="Q244" s="50">
        <f t="shared" si="14"/>
        <v>46253</v>
      </c>
      <c r="R244" s="17" t="str">
        <f>IF(M244=1,COUNTIFS($Q$2:Q244,Q244,$M$2:M244,1),"")</f>
        <v/>
      </c>
      <c r="S244" s="50" t="str">
        <f t="shared" si="15"/>
        <v/>
      </c>
    </row>
    <row r="245" spans="1:19" ht="45" customHeight="1" x14ac:dyDescent="0.35">
      <c r="A245" s="66">
        <v>46253</v>
      </c>
      <c r="B245" s="67" t="s">
        <v>122</v>
      </c>
      <c r="C245" s="67" t="s">
        <v>123</v>
      </c>
      <c r="D245" s="67" t="s">
        <v>124</v>
      </c>
      <c r="E245" s="67" t="s">
        <v>89</v>
      </c>
      <c r="F245" s="67" t="s">
        <v>165</v>
      </c>
      <c r="G245" s="67" t="s">
        <v>109</v>
      </c>
      <c r="H245" s="67" t="s">
        <v>87</v>
      </c>
      <c r="I245" s="67" t="s">
        <v>50</v>
      </c>
      <c r="J245" s="67" t="s">
        <v>88</v>
      </c>
      <c r="K245" s="67" t="s">
        <v>125</v>
      </c>
      <c r="L245" s="68" t="s">
        <v>118</v>
      </c>
      <c r="M245" s="68">
        <f>--AND(Configuración!$B$6&lt;&gt;"",OR(E245="Todas",ISNUMBER(SEARCH(Configuración!$B$7,E245))),IF(L245="Monotributo",Configuración!$B$10="Sí",IF(L245="Autónomos",Configuración!$B$11="Sí",IF(L245="Responsable inscripto",Configuración!$B$12="Sí",IF(L245="Empleador",Configuración!$B$13="Sí",IF(L245="Casas particulares",Configuración!$B$14="Sí",IF(L245="Retenciones",Configuración!$B$15="Sí",IF(L245="Sociedad",Configuración!$B$16="Sí",IF(L245="Persona humana",Configuración!$B$17="Sí",IF(L245="Convenio Multilateral",Configuración!$B$18="Sí",FALSE()))))))))))</f>
        <v>0</v>
      </c>
      <c r="N245" s="68" t="str">
        <f>IF(M245=1,COUNTIF($M$2:M245,1),"")</f>
        <v/>
      </c>
      <c r="O245" s="50">
        <f t="shared" ca="1" si="12"/>
        <v>0</v>
      </c>
      <c r="P245" s="17" t="str">
        <f t="shared" ca="1" si="13"/>
        <v>Vence hoy</v>
      </c>
      <c r="Q245" s="50">
        <f t="shared" si="14"/>
        <v>46253</v>
      </c>
      <c r="R245" s="17" t="str">
        <f>IF(M245=1,COUNTIFS($Q$2:Q245,Q245,$M$2:M245,1),"")</f>
        <v/>
      </c>
      <c r="S245" s="50" t="str">
        <f t="shared" si="15"/>
        <v/>
      </c>
    </row>
    <row r="246" spans="1:19" ht="45" customHeight="1" x14ac:dyDescent="0.35">
      <c r="A246" s="66">
        <v>46253.625</v>
      </c>
      <c r="B246" s="67" t="s">
        <v>137</v>
      </c>
      <c r="C246" s="67" t="s">
        <v>138</v>
      </c>
      <c r="D246" s="67" t="s">
        <v>139</v>
      </c>
      <c r="E246" s="67" t="s">
        <v>146</v>
      </c>
      <c r="F246" s="67" t="s">
        <v>178</v>
      </c>
      <c r="G246" s="67" t="s">
        <v>94</v>
      </c>
      <c r="H246" s="67" t="s">
        <v>142</v>
      </c>
      <c r="I246" s="67" t="s">
        <v>50</v>
      </c>
      <c r="J246" s="67" t="s">
        <v>150</v>
      </c>
      <c r="K246" s="67" t="s">
        <v>151</v>
      </c>
      <c r="L246" s="68" t="s">
        <v>33</v>
      </c>
      <c r="M246" s="68">
        <f>--AND(Configuración!$B$6&lt;&gt;"",OR(E246="Todas",ISNUMBER(SEARCH(Configuración!$B$7,E246))),IF(L246="Monotributo",Configuración!$B$10="Sí",IF(L246="Autónomos",Configuración!$B$11="Sí",IF(L246="Responsable inscripto",Configuración!$B$12="Sí",IF(L246="Empleador",Configuración!$B$13="Sí",IF(L246="Casas particulares",Configuración!$B$14="Sí",IF(L246="Retenciones",Configuración!$B$15="Sí",IF(L246="Sociedad",Configuración!$B$16="Sí",IF(L246="Persona humana",Configuración!$B$17="Sí",IF(L246="Convenio Multilateral",Configuración!$B$18="Sí",FALSE()))))))))))</f>
        <v>0</v>
      </c>
      <c r="N246" s="68" t="str">
        <f>IF(M246=1,COUNTIF($M$2:M246,1),"")</f>
        <v/>
      </c>
      <c r="O246" s="50">
        <f t="shared" ca="1" si="12"/>
        <v>0</v>
      </c>
      <c r="P246" s="17" t="str">
        <f t="shared" ca="1" si="13"/>
        <v>Vence hoy</v>
      </c>
      <c r="Q246" s="50">
        <f t="shared" si="14"/>
        <v>46253</v>
      </c>
      <c r="R246" s="17" t="str">
        <f>IF(M246=1,COUNTIFS($Q$2:Q246,Q246,$M$2:M246,1),"")</f>
        <v/>
      </c>
      <c r="S246" s="50" t="str">
        <f t="shared" si="15"/>
        <v/>
      </c>
    </row>
    <row r="247" spans="1:19" ht="45" customHeight="1" x14ac:dyDescent="0.35">
      <c r="A247" s="66">
        <v>46254</v>
      </c>
      <c r="B247" s="67" t="s">
        <v>115</v>
      </c>
      <c r="C247" s="67" t="s">
        <v>116</v>
      </c>
      <c r="D247" s="67" t="s">
        <v>117</v>
      </c>
      <c r="E247" s="67" t="s">
        <v>90</v>
      </c>
      <c r="F247" s="67" t="s">
        <v>165</v>
      </c>
      <c r="G247" s="67" t="s">
        <v>94</v>
      </c>
      <c r="H247" s="67" t="s">
        <v>87</v>
      </c>
      <c r="I247" s="67" t="s">
        <v>50</v>
      </c>
      <c r="J247" s="67" t="s">
        <v>88</v>
      </c>
      <c r="K247" s="67"/>
      <c r="L247" s="68" t="s">
        <v>118</v>
      </c>
      <c r="M247" s="68">
        <f>--AND(Configuración!$B$6&lt;&gt;"",OR(E247="Todas",ISNUMBER(SEARCH(Configuración!$B$7,E247))),IF(L247="Monotributo",Configuración!$B$10="Sí",IF(L247="Autónomos",Configuración!$B$11="Sí",IF(L247="Responsable inscripto",Configuración!$B$12="Sí",IF(L247="Empleador",Configuración!$B$13="Sí",IF(L247="Casas particulares",Configuración!$B$14="Sí",IF(L247="Retenciones",Configuración!$B$15="Sí",IF(L247="Sociedad",Configuración!$B$16="Sí",IF(L247="Persona humana",Configuración!$B$17="Sí",IF(L247="Convenio Multilateral",Configuración!$B$18="Sí",FALSE()))))))))))</f>
        <v>0</v>
      </c>
      <c r="N247" s="68" t="str">
        <f>IF(M247=1,COUNTIF($M$2:M247,1),"")</f>
        <v/>
      </c>
      <c r="O247" s="50">
        <f t="shared" ca="1" si="12"/>
        <v>1</v>
      </c>
      <c r="P247" s="17" t="str">
        <f t="shared" ca="1" si="13"/>
        <v>Vence mañana</v>
      </c>
      <c r="Q247" s="50">
        <f t="shared" si="14"/>
        <v>46254</v>
      </c>
      <c r="R247" s="17" t="str">
        <f>IF(M247=1,COUNTIFS($Q$2:Q247,Q247,$M$2:M247,1),"")</f>
        <v/>
      </c>
      <c r="S247" s="50" t="str">
        <f t="shared" si="15"/>
        <v/>
      </c>
    </row>
    <row r="248" spans="1:19" ht="45" customHeight="1" x14ac:dyDescent="0.35">
      <c r="A248" s="66">
        <v>46254</v>
      </c>
      <c r="B248" s="67" t="s">
        <v>119</v>
      </c>
      <c r="C248" s="67" t="s">
        <v>120</v>
      </c>
      <c r="D248" s="67" t="s">
        <v>121</v>
      </c>
      <c r="E248" s="67" t="s">
        <v>90</v>
      </c>
      <c r="F248" s="67" t="s">
        <v>165</v>
      </c>
      <c r="G248" s="67" t="s">
        <v>94</v>
      </c>
      <c r="H248" s="67" t="s">
        <v>87</v>
      </c>
      <c r="I248" s="67" t="s">
        <v>50</v>
      </c>
      <c r="J248" s="67" t="s">
        <v>88</v>
      </c>
      <c r="K248" s="67"/>
      <c r="L248" s="68" t="s">
        <v>118</v>
      </c>
      <c r="M248" s="68">
        <f>--AND(Configuración!$B$6&lt;&gt;"",OR(E248="Todas",ISNUMBER(SEARCH(Configuración!$B$7,E248))),IF(L248="Monotributo",Configuración!$B$10="Sí",IF(L248="Autónomos",Configuración!$B$11="Sí",IF(L248="Responsable inscripto",Configuración!$B$12="Sí",IF(L248="Empleador",Configuración!$B$13="Sí",IF(L248="Casas particulares",Configuración!$B$14="Sí",IF(L248="Retenciones",Configuración!$B$15="Sí",IF(L248="Sociedad",Configuración!$B$16="Sí",IF(L248="Persona humana",Configuración!$B$17="Sí",IF(L248="Convenio Multilateral",Configuración!$B$18="Sí",FALSE()))))))))))</f>
        <v>0</v>
      </c>
      <c r="N248" s="68" t="str">
        <f>IF(M248=1,COUNTIF($M$2:M248,1),"")</f>
        <v/>
      </c>
      <c r="O248" s="50">
        <f t="shared" ca="1" si="12"/>
        <v>1</v>
      </c>
      <c r="P248" s="17" t="str">
        <f t="shared" ca="1" si="13"/>
        <v>Vence mañana</v>
      </c>
      <c r="Q248" s="50">
        <f t="shared" si="14"/>
        <v>46254</v>
      </c>
      <c r="R248" s="17" t="str">
        <f>IF(M248=1,COUNTIFS($Q$2:Q248,Q248,$M$2:M248,1),"")</f>
        <v/>
      </c>
      <c r="S248" s="50" t="str">
        <f t="shared" si="15"/>
        <v/>
      </c>
    </row>
    <row r="249" spans="1:19" ht="45" customHeight="1" x14ac:dyDescent="0.35">
      <c r="A249" s="66">
        <v>46254</v>
      </c>
      <c r="B249" s="67" t="s">
        <v>122</v>
      </c>
      <c r="C249" s="67" t="s">
        <v>123</v>
      </c>
      <c r="D249" s="67" t="s">
        <v>124</v>
      </c>
      <c r="E249" s="67" t="s">
        <v>90</v>
      </c>
      <c r="F249" s="67" t="s">
        <v>165</v>
      </c>
      <c r="G249" s="67" t="s">
        <v>109</v>
      </c>
      <c r="H249" s="67" t="s">
        <v>87</v>
      </c>
      <c r="I249" s="67" t="s">
        <v>50</v>
      </c>
      <c r="J249" s="67" t="s">
        <v>88</v>
      </c>
      <c r="K249" s="67" t="s">
        <v>125</v>
      </c>
      <c r="L249" s="68" t="s">
        <v>118</v>
      </c>
      <c r="M249" s="68">
        <f>--AND(Configuración!$B$6&lt;&gt;"",OR(E249="Todas",ISNUMBER(SEARCH(Configuración!$B$7,E249))),IF(L249="Monotributo",Configuración!$B$10="Sí",IF(L249="Autónomos",Configuración!$B$11="Sí",IF(L249="Responsable inscripto",Configuración!$B$12="Sí",IF(L249="Empleador",Configuración!$B$13="Sí",IF(L249="Casas particulares",Configuración!$B$14="Sí",IF(L249="Retenciones",Configuración!$B$15="Sí",IF(L249="Sociedad",Configuración!$B$16="Sí",IF(L249="Persona humana",Configuración!$B$17="Sí",IF(L249="Convenio Multilateral",Configuración!$B$18="Sí",FALSE()))))))))))</f>
        <v>0</v>
      </c>
      <c r="N249" s="68" t="str">
        <f>IF(M249=1,COUNTIF($M$2:M249,1),"")</f>
        <v/>
      </c>
      <c r="O249" s="50">
        <f t="shared" ca="1" si="12"/>
        <v>1</v>
      </c>
      <c r="P249" s="17" t="str">
        <f t="shared" ca="1" si="13"/>
        <v>Vence mañana</v>
      </c>
      <c r="Q249" s="50">
        <f t="shared" si="14"/>
        <v>46254</v>
      </c>
      <c r="R249" s="17" t="str">
        <f>IF(M249=1,COUNTIFS($Q$2:Q249,Q249,$M$2:M249,1),"")</f>
        <v/>
      </c>
      <c r="S249" s="50" t="str">
        <f t="shared" si="15"/>
        <v/>
      </c>
    </row>
    <row r="250" spans="1:19" ht="30" customHeight="1" x14ac:dyDescent="0.35">
      <c r="A250" s="66">
        <v>46254</v>
      </c>
      <c r="B250" s="67" t="s">
        <v>24</v>
      </c>
      <c r="C250" s="67" t="s">
        <v>126</v>
      </c>
      <c r="D250" s="67" t="s">
        <v>127</v>
      </c>
      <c r="E250" s="67" t="s">
        <v>104</v>
      </c>
      <c r="F250" s="67" t="s">
        <v>179</v>
      </c>
      <c r="G250" s="67" t="s">
        <v>86</v>
      </c>
      <c r="H250" s="67" t="s">
        <v>87</v>
      </c>
      <c r="I250" s="67" t="s">
        <v>50</v>
      </c>
      <c r="J250" s="67" t="s">
        <v>129</v>
      </c>
      <c r="K250" s="67" t="s">
        <v>130</v>
      </c>
      <c r="L250" s="68" t="s">
        <v>24</v>
      </c>
      <c r="M250" s="68">
        <f>--AND(Configuración!$B$6&lt;&gt;"",OR(E250="Todas",ISNUMBER(SEARCH(Configuración!$B$7,E250))),IF(L250="Monotributo",Configuración!$B$10="Sí",IF(L250="Autónomos",Configuración!$B$11="Sí",IF(L250="Responsable inscripto",Configuración!$B$12="Sí",IF(L250="Empleador",Configuración!$B$13="Sí",IF(L250="Casas particulares",Configuración!$B$14="Sí",IF(L250="Retenciones",Configuración!$B$15="Sí",IF(L250="Sociedad",Configuración!$B$16="Sí",IF(L250="Persona humana",Configuración!$B$17="Sí",IF(L250="Convenio Multilateral",Configuración!$B$18="Sí",FALSE()))))))))))</f>
        <v>0</v>
      </c>
      <c r="N250" s="68" t="str">
        <f>IF(M250=1,COUNTIF($M$2:M250,1),"")</f>
        <v/>
      </c>
      <c r="O250" s="50">
        <f t="shared" ca="1" si="12"/>
        <v>1</v>
      </c>
      <c r="P250" s="17" t="str">
        <f t="shared" ca="1" si="13"/>
        <v>Vence mañana</v>
      </c>
      <c r="Q250" s="50">
        <f t="shared" si="14"/>
        <v>46254</v>
      </c>
      <c r="R250" s="17" t="str">
        <f>IF(M250=1,COUNTIFS($Q$2:Q250,Q250,$M$2:M250,1),"")</f>
        <v/>
      </c>
      <c r="S250" s="50" t="str">
        <f t="shared" si="15"/>
        <v/>
      </c>
    </row>
    <row r="251" spans="1:19" ht="45" customHeight="1" x14ac:dyDescent="0.35">
      <c r="A251" s="66">
        <v>46254.625</v>
      </c>
      <c r="B251" s="67" t="s">
        <v>137</v>
      </c>
      <c r="C251" s="67" t="s">
        <v>138</v>
      </c>
      <c r="D251" s="67" t="s">
        <v>139</v>
      </c>
      <c r="E251" s="67" t="s">
        <v>147</v>
      </c>
      <c r="F251" s="67" t="s">
        <v>178</v>
      </c>
      <c r="G251" s="67" t="s">
        <v>94</v>
      </c>
      <c r="H251" s="67" t="s">
        <v>142</v>
      </c>
      <c r="I251" s="67" t="s">
        <v>50</v>
      </c>
      <c r="J251" s="67" t="s">
        <v>150</v>
      </c>
      <c r="K251" s="67" t="s">
        <v>151</v>
      </c>
      <c r="L251" s="68" t="s">
        <v>33</v>
      </c>
      <c r="M251" s="68">
        <f>--AND(Configuración!$B$6&lt;&gt;"",OR(E251="Todas",ISNUMBER(SEARCH(Configuración!$B$7,E251))),IF(L251="Monotributo",Configuración!$B$10="Sí",IF(L251="Autónomos",Configuración!$B$11="Sí",IF(L251="Responsable inscripto",Configuración!$B$12="Sí",IF(L251="Empleador",Configuración!$B$13="Sí",IF(L251="Casas particulares",Configuración!$B$14="Sí",IF(L251="Retenciones",Configuración!$B$15="Sí",IF(L251="Sociedad",Configuración!$B$16="Sí",IF(L251="Persona humana",Configuración!$B$17="Sí",IF(L251="Convenio Multilateral",Configuración!$B$18="Sí",FALSE()))))))))))</f>
        <v>0</v>
      </c>
      <c r="N251" s="68" t="str">
        <f>IF(M251=1,COUNTIF($M$2:M251,1),"")</f>
        <v/>
      </c>
      <c r="O251" s="50">
        <f t="shared" ca="1" si="12"/>
        <v>1</v>
      </c>
      <c r="P251" s="17" t="str">
        <f t="shared" ca="1" si="13"/>
        <v>Vence mañana</v>
      </c>
      <c r="Q251" s="50">
        <f t="shared" si="14"/>
        <v>46254</v>
      </c>
      <c r="R251" s="17" t="str">
        <f>IF(M251=1,COUNTIFS($Q$2:Q251,Q251,$M$2:M251,1),"")</f>
        <v/>
      </c>
      <c r="S251" s="50" t="str">
        <f t="shared" si="15"/>
        <v/>
      </c>
    </row>
    <row r="252" spans="1:19" ht="45" customHeight="1" x14ac:dyDescent="0.35">
      <c r="A252" s="66">
        <v>46261</v>
      </c>
      <c r="B252" s="67" t="s">
        <v>171</v>
      </c>
      <c r="C252" s="67" t="s">
        <v>180</v>
      </c>
      <c r="D252" s="67" t="s">
        <v>168</v>
      </c>
      <c r="E252" s="67" t="s">
        <v>104</v>
      </c>
      <c r="F252" s="67" t="s">
        <v>162</v>
      </c>
      <c r="G252" s="67" t="s">
        <v>109</v>
      </c>
      <c r="H252" s="67" t="s">
        <v>87</v>
      </c>
      <c r="I252" s="67" t="s">
        <v>50</v>
      </c>
      <c r="J252" s="67" t="s">
        <v>173</v>
      </c>
      <c r="K252" s="67" t="s">
        <v>181</v>
      </c>
      <c r="L252" s="68" t="s">
        <v>170</v>
      </c>
      <c r="M252" s="68">
        <f>--AND(Configuración!$B$6&lt;&gt;"",OR(E252="Todas",ISNUMBER(SEARCH(Configuración!$B$7,E252))),IF(L252="Monotributo",Configuración!$B$10="Sí",IF(L252="Autónomos",Configuración!$B$11="Sí",IF(L252="Responsable inscripto",Configuración!$B$12="Sí",IF(L252="Empleador",Configuración!$B$13="Sí",IF(L252="Casas particulares",Configuración!$B$14="Sí",IF(L252="Retenciones",Configuración!$B$15="Sí",IF(L252="Sociedad",Configuración!$B$16="Sí",IF(L252="Persona humana",Configuración!$B$17="Sí",IF(L252="Convenio Multilateral",Configuración!$B$18="Sí",FALSE()))))))))))</f>
        <v>0</v>
      </c>
      <c r="N252" s="68" t="str">
        <f>IF(M252=1,COUNTIF($M$2:M252,1),"")</f>
        <v/>
      </c>
      <c r="O252" s="50">
        <f t="shared" ca="1" si="12"/>
        <v>8</v>
      </c>
      <c r="P252" s="17" t="str">
        <f t="shared" ca="1" si="13"/>
        <v>Faltan 8 días</v>
      </c>
      <c r="Q252" s="50">
        <f t="shared" si="14"/>
        <v>46261</v>
      </c>
      <c r="R252" s="17" t="str">
        <f>IF(M252=1,COUNTIFS($Q$2:Q252,Q252,$M$2:M252,1),"")</f>
        <v/>
      </c>
      <c r="S252" s="50" t="str">
        <f t="shared" si="15"/>
        <v/>
      </c>
    </row>
    <row r="253" spans="1:19" ht="45" customHeight="1" x14ac:dyDescent="0.35">
      <c r="A253" s="66">
        <v>46268</v>
      </c>
      <c r="B253" s="67" t="s">
        <v>26</v>
      </c>
      <c r="C253" s="67" t="s">
        <v>82</v>
      </c>
      <c r="D253" s="67" t="s">
        <v>83</v>
      </c>
      <c r="E253" s="67" t="s">
        <v>84</v>
      </c>
      <c r="F253" s="67" t="s">
        <v>179</v>
      </c>
      <c r="G253" s="67" t="s">
        <v>86</v>
      </c>
      <c r="H253" s="67" t="s">
        <v>87</v>
      </c>
      <c r="I253" s="67" t="s">
        <v>50</v>
      </c>
      <c r="J253" s="67" t="s">
        <v>88</v>
      </c>
      <c r="K253" s="67"/>
      <c r="L253" s="68" t="s">
        <v>26</v>
      </c>
      <c r="M253" s="68">
        <f>--AND(Configuración!$B$6&lt;&gt;"",OR(E253="Todas",ISNUMBER(SEARCH(Configuración!$B$7,E253))),IF(L253="Monotributo",Configuración!$B$10="Sí",IF(L253="Autónomos",Configuración!$B$11="Sí",IF(L253="Responsable inscripto",Configuración!$B$12="Sí",IF(L253="Empleador",Configuración!$B$13="Sí",IF(L253="Casas particulares",Configuración!$B$14="Sí",IF(L253="Retenciones",Configuración!$B$15="Sí",IF(L253="Sociedad",Configuración!$B$16="Sí",IF(L253="Persona humana",Configuración!$B$17="Sí",IF(L253="Convenio Multilateral",Configuración!$B$18="Sí",FALSE()))))))))))</f>
        <v>0</v>
      </c>
      <c r="N253" s="68" t="str">
        <f>IF(M253=1,COUNTIF($M$2:M253,1),"")</f>
        <v/>
      </c>
      <c r="O253" s="50">
        <f t="shared" ca="1" si="12"/>
        <v>15</v>
      </c>
      <c r="P253" s="17" t="str">
        <f t="shared" ca="1" si="13"/>
        <v>Faltan 15 días</v>
      </c>
      <c r="Q253" s="50">
        <f t="shared" si="14"/>
        <v>46268</v>
      </c>
      <c r="R253" s="17" t="str">
        <f>IF(M253=1,COUNTIFS($Q$2:Q253,Q253,$M$2:M253,1),"")</f>
        <v/>
      </c>
      <c r="S253" s="50" t="str">
        <f t="shared" si="15"/>
        <v/>
      </c>
    </row>
    <row r="254" spans="1:19" ht="45" customHeight="1" x14ac:dyDescent="0.35">
      <c r="A254" s="66">
        <v>46269</v>
      </c>
      <c r="B254" s="67" t="s">
        <v>26</v>
      </c>
      <c r="C254" s="67" t="s">
        <v>82</v>
      </c>
      <c r="D254" s="67" t="s">
        <v>83</v>
      </c>
      <c r="E254" s="67" t="s">
        <v>89</v>
      </c>
      <c r="F254" s="67" t="s">
        <v>179</v>
      </c>
      <c r="G254" s="67" t="s">
        <v>86</v>
      </c>
      <c r="H254" s="67" t="s">
        <v>87</v>
      </c>
      <c r="I254" s="67" t="s">
        <v>50</v>
      </c>
      <c r="J254" s="67" t="s">
        <v>88</v>
      </c>
      <c r="K254" s="67"/>
      <c r="L254" s="68" t="s">
        <v>26</v>
      </c>
      <c r="M254" s="68">
        <f>--AND(Configuración!$B$6&lt;&gt;"",OR(E254="Todas",ISNUMBER(SEARCH(Configuración!$B$7,E254))),IF(L254="Monotributo",Configuración!$B$10="Sí",IF(L254="Autónomos",Configuración!$B$11="Sí",IF(L254="Responsable inscripto",Configuración!$B$12="Sí",IF(L254="Empleador",Configuración!$B$13="Sí",IF(L254="Casas particulares",Configuración!$B$14="Sí",IF(L254="Retenciones",Configuración!$B$15="Sí",IF(L254="Sociedad",Configuración!$B$16="Sí",IF(L254="Persona humana",Configuración!$B$17="Sí",IF(L254="Convenio Multilateral",Configuración!$B$18="Sí",FALSE()))))))))))</f>
        <v>0</v>
      </c>
      <c r="N254" s="68" t="str">
        <f>IF(M254=1,COUNTIF($M$2:M254,1),"")</f>
        <v/>
      </c>
      <c r="O254" s="50">
        <f t="shared" ca="1" si="12"/>
        <v>16</v>
      </c>
      <c r="P254" s="17" t="str">
        <f t="shared" ca="1" si="13"/>
        <v>Faltan 16 días</v>
      </c>
      <c r="Q254" s="50">
        <f t="shared" si="14"/>
        <v>46269</v>
      </c>
      <c r="R254" s="17" t="str">
        <f>IF(M254=1,COUNTIFS($Q$2:Q254,Q254,$M$2:M254,1),"")</f>
        <v/>
      </c>
      <c r="S254" s="50" t="str">
        <f t="shared" si="15"/>
        <v/>
      </c>
    </row>
    <row r="255" spans="1:19" ht="45" customHeight="1" x14ac:dyDescent="0.35">
      <c r="A255" s="66">
        <v>46269</v>
      </c>
      <c r="B255" s="67" t="s">
        <v>91</v>
      </c>
      <c r="C255" s="67" t="s">
        <v>92</v>
      </c>
      <c r="D255" s="67" t="s">
        <v>93</v>
      </c>
      <c r="E255" s="67" t="s">
        <v>84</v>
      </c>
      <c r="F255" s="67" t="s">
        <v>179</v>
      </c>
      <c r="G255" s="67" t="s">
        <v>94</v>
      </c>
      <c r="H255" s="67" t="s">
        <v>87</v>
      </c>
      <c r="I255" s="67" t="s">
        <v>50</v>
      </c>
      <c r="J255" s="67" t="s">
        <v>88</v>
      </c>
      <c r="K255" s="67"/>
      <c r="L255" s="68" t="s">
        <v>95</v>
      </c>
      <c r="M255" s="68">
        <f>--AND(Configuración!$B$6&lt;&gt;"",OR(E255="Todas",ISNUMBER(SEARCH(Configuración!$B$7,E255))),IF(L255="Monotributo",Configuración!$B$10="Sí",IF(L255="Autónomos",Configuración!$B$11="Sí",IF(L255="Responsable inscripto",Configuración!$B$12="Sí",IF(L255="Empleador",Configuración!$B$13="Sí",IF(L255="Casas particulares",Configuración!$B$14="Sí",IF(L255="Retenciones",Configuración!$B$15="Sí",IF(L255="Sociedad",Configuración!$B$16="Sí",IF(L255="Persona humana",Configuración!$B$17="Sí",IF(L255="Convenio Multilateral",Configuración!$B$18="Sí",FALSE()))))))))))</f>
        <v>0</v>
      </c>
      <c r="N255" s="68" t="str">
        <f>IF(M255=1,COUNTIF($M$2:M255,1),"")</f>
        <v/>
      </c>
      <c r="O255" s="50">
        <f t="shared" ca="1" si="12"/>
        <v>16</v>
      </c>
      <c r="P255" s="17" t="str">
        <f t="shared" ca="1" si="13"/>
        <v>Faltan 16 días</v>
      </c>
      <c r="Q255" s="50">
        <f t="shared" si="14"/>
        <v>46269</v>
      </c>
      <c r="R255" s="17" t="str">
        <f>IF(M255=1,COUNTIFS($Q$2:Q255,Q255,$M$2:M255,1),"")</f>
        <v/>
      </c>
      <c r="S255" s="50" t="str">
        <f t="shared" si="15"/>
        <v/>
      </c>
    </row>
    <row r="256" spans="1:19" ht="45" customHeight="1" x14ac:dyDescent="0.35">
      <c r="A256" s="66">
        <v>46272</v>
      </c>
      <c r="B256" s="67" t="s">
        <v>26</v>
      </c>
      <c r="C256" s="67" t="s">
        <v>82</v>
      </c>
      <c r="D256" s="67" t="s">
        <v>83</v>
      </c>
      <c r="E256" s="67" t="s">
        <v>90</v>
      </c>
      <c r="F256" s="67" t="s">
        <v>179</v>
      </c>
      <c r="G256" s="67" t="s">
        <v>86</v>
      </c>
      <c r="H256" s="67" t="s">
        <v>87</v>
      </c>
      <c r="I256" s="67" t="s">
        <v>50</v>
      </c>
      <c r="J256" s="67" t="s">
        <v>88</v>
      </c>
      <c r="K256" s="67"/>
      <c r="L256" s="68" t="s">
        <v>26</v>
      </c>
      <c r="M256" s="68">
        <f>--AND(Configuración!$B$6&lt;&gt;"",OR(E256="Todas",ISNUMBER(SEARCH(Configuración!$B$7,E256))),IF(L256="Monotributo",Configuración!$B$10="Sí",IF(L256="Autónomos",Configuración!$B$11="Sí",IF(L256="Responsable inscripto",Configuración!$B$12="Sí",IF(L256="Empleador",Configuración!$B$13="Sí",IF(L256="Casas particulares",Configuración!$B$14="Sí",IF(L256="Retenciones",Configuración!$B$15="Sí",IF(L256="Sociedad",Configuración!$B$16="Sí",IF(L256="Persona humana",Configuración!$B$17="Sí",IF(L256="Convenio Multilateral",Configuración!$B$18="Sí",FALSE()))))))))))</f>
        <v>0</v>
      </c>
      <c r="N256" s="68" t="str">
        <f>IF(M256=1,COUNTIF($M$2:M256,1),"")</f>
        <v/>
      </c>
      <c r="O256" s="50">
        <f t="shared" ca="1" si="12"/>
        <v>19</v>
      </c>
      <c r="P256" s="17" t="str">
        <f t="shared" ca="1" si="13"/>
        <v>Faltan 19 días</v>
      </c>
      <c r="Q256" s="50">
        <f t="shared" si="14"/>
        <v>46272</v>
      </c>
      <c r="R256" s="17" t="str">
        <f>IF(M256=1,COUNTIFS($Q$2:Q256,Q256,$M$2:M256,1),"")</f>
        <v/>
      </c>
      <c r="S256" s="50" t="str">
        <f t="shared" si="15"/>
        <v/>
      </c>
    </row>
    <row r="257" spans="1:19" ht="45" customHeight="1" x14ac:dyDescent="0.35">
      <c r="A257" s="66">
        <v>46272</v>
      </c>
      <c r="B257" s="67" t="s">
        <v>96</v>
      </c>
      <c r="C257" s="67" t="s">
        <v>97</v>
      </c>
      <c r="D257" s="67" t="s">
        <v>98</v>
      </c>
      <c r="E257" s="67" t="s">
        <v>84</v>
      </c>
      <c r="F257" s="67" t="s">
        <v>179</v>
      </c>
      <c r="G257" s="67" t="s">
        <v>94</v>
      </c>
      <c r="H257" s="67" t="s">
        <v>87</v>
      </c>
      <c r="I257" s="67" t="s">
        <v>50</v>
      </c>
      <c r="J257" s="67" t="s">
        <v>88</v>
      </c>
      <c r="K257" s="67"/>
      <c r="L257" s="68" t="s">
        <v>99</v>
      </c>
      <c r="M257" s="68">
        <f>--AND(Configuración!$B$6&lt;&gt;"",OR(E257="Todas",ISNUMBER(SEARCH(Configuración!$B$7,E257))),IF(L257="Monotributo",Configuración!$B$10="Sí",IF(L257="Autónomos",Configuración!$B$11="Sí",IF(L257="Responsable inscripto",Configuración!$B$12="Sí",IF(L257="Empleador",Configuración!$B$13="Sí",IF(L257="Casas particulares",Configuración!$B$14="Sí",IF(L257="Retenciones",Configuración!$B$15="Sí",IF(L257="Sociedad",Configuración!$B$16="Sí",IF(L257="Persona humana",Configuración!$B$17="Sí",IF(L257="Convenio Multilateral",Configuración!$B$18="Sí",FALSE()))))))))))</f>
        <v>0</v>
      </c>
      <c r="N257" s="68" t="str">
        <f>IF(M257=1,COUNTIF($M$2:M257,1),"")</f>
        <v/>
      </c>
      <c r="O257" s="50">
        <f t="shared" ca="1" si="12"/>
        <v>19</v>
      </c>
      <c r="P257" s="17" t="str">
        <f t="shared" ca="1" si="13"/>
        <v>Faltan 19 días</v>
      </c>
      <c r="Q257" s="50">
        <f t="shared" si="14"/>
        <v>46272</v>
      </c>
      <c r="R257" s="17" t="str">
        <f>IF(M257=1,COUNTIFS($Q$2:Q257,Q257,$M$2:M257,1),"")</f>
        <v/>
      </c>
      <c r="S257" s="50" t="str">
        <f t="shared" si="15"/>
        <v/>
      </c>
    </row>
    <row r="258" spans="1:19" ht="45" customHeight="1" x14ac:dyDescent="0.35">
      <c r="A258" s="66">
        <v>46272</v>
      </c>
      <c r="B258" s="67" t="s">
        <v>91</v>
      </c>
      <c r="C258" s="67" t="s">
        <v>92</v>
      </c>
      <c r="D258" s="67" t="s">
        <v>93</v>
      </c>
      <c r="E258" s="67" t="s">
        <v>89</v>
      </c>
      <c r="F258" s="67" t="s">
        <v>179</v>
      </c>
      <c r="G258" s="67" t="s">
        <v>94</v>
      </c>
      <c r="H258" s="67" t="s">
        <v>87</v>
      </c>
      <c r="I258" s="67" t="s">
        <v>50</v>
      </c>
      <c r="J258" s="67" t="s">
        <v>88</v>
      </c>
      <c r="K258" s="67"/>
      <c r="L258" s="68" t="s">
        <v>95</v>
      </c>
      <c r="M258" s="68">
        <f>--AND(Configuración!$B$6&lt;&gt;"",OR(E258="Todas",ISNUMBER(SEARCH(Configuración!$B$7,E258))),IF(L258="Monotributo",Configuración!$B$10="Sí",IF(L258="Autónomos",Configuración!$B$11="Sí",IF(L258="Responsable inscripto",Configuración!$B$12="Sí",IF(L258="Empleador",Configuración!$B$13="Sí",IF(L258="Casas particulares",Configuración!$B$14="Sí",IF(L258="Retenciones",Configuración!$B$15="Sí",IF(L258="Sociedad",Configuración!$B$16="Sí",IF(L258="Persona humana",Configuración!$B$17="Sí",IF(L258="Convenio Multilateral",Configuración!$B$18="Sí",FALSE()))))))))))</f>
        <v>0</v>
      </c>
      <c r="N258" s="68" t="str">
        <f>IF(M258=1,COUNTIF($M$2:M258,1),"")</f>
        <v/>
      </c>
      <c r="O258" s="50">
        <f t="shared" ref="O258:O321" ca="1" si="16">IFERROR(INT(A258)-TODAY(),"")</f>
        <v>19</v>
      </c>
      <c r="P258" s="17" t="str">
        <f t="shared" ref="P258:P321" ca="1" si="17">IF(A258="","",IF(O258&lt;0,"Vencido hace "&amp;-O258&amp;IF(O258=-1," día"," días"),IF(O258=0,"Vence hoy",IF(O258=1,"Vence mañana","Faltan "&amp;O258&amp;" días"))))</f>
        <v>Faltan 19 días</v>
      </c>
      <c r="Q258" s="50">
        <f t="shared" ref="Q258:Q321" si="18">IF(A258="","",INT(A258))</f>
        <v>46272</v>
      </c>
      <c r="R258" s="17" t="str">
        <f>IF(M258=1,COUNTIFS($Q$2:Q258,Q258,$M$2:M258,1),"")</f>
        <v/>
      </c>
      <c r="S258" s="50" t="str">
        <f t="shared" ref="S258:S321" si="19">IF(M258=1,Q258*10+R258,"")</f>
        <v/>
      </c>
    </row>
    <row r="259" spans="1:19" ht="45" customHeight="1" x14ac:dyDescent="0.35">
      <c r="A259" s="66">
        <v>46272</v>
      </c>
      <c r="B259" s="67" t="s">
        <v>91</v>
      </c>
      <c r="C259" s="67" t="s">
        <v>92</v>
      </c>
      <c r="D259" s="67" t="s">
        <v>93</v>
      </c>
      <c r="E259" s="67" t="s">
        <v>90</v>
      </c>
      <c r="F259" s="67" t="s">
        <v>179</v>
      </c>
      <c r="G259" s="67" t="s">
        <v>94</v>
      </c>
      <c r="H259" s="67" t="s">
        <v>87</v>
      </c>
      <c r="I259" s="67" t="s">
        <v>50</v>
      </c>
      <c r="J259" s="67" t="s">
        <v>88</v>
      </c>
      <c r="K259" s="67"/>
      <c r="L259" s="68" t="s">
        <v>95</v>
      </c>
      <c r="M259" s="68">
        <f>--AND(Configuración!$B$6&lt;&gt;"",OR(E259="Todas",ISNUMBER(SEARCH(Configuración!$B$7,E259))),IF(L259="Monotributo",Configuración!$B$10="Sí",IF(L259="Autónomos",Configuración!$B$11="Sí",IF(L259="Responsable inscripto",Configuración!$B$12="Sí",IF(L259="Empleador",Configuración!$B$13="Sí",IF(L259="Casas particulares",Configuración!$B$14="Sí",IF(L259="Retenciones",Configuración!$B$15="Sí",IF(L259="Sociedad",Configuración!$B$16="Sí",IF(L259="Persona humana",Configuración!$B$17="Sí",IF(L259="Convenio Multilateral",Configuración!$B$18="Sí",FALSE()))))))))))</f>
        <v>0</v>
      </c>
      <c r="N259" s="68" t="str">
        <f>IF(M259=1,COUNTIF($M$2:M259,1),"")</f>
        <v/>
      </c>
      <c r="O259" s="50">
        <f t="shared" ca="1" si="16"/>
        <v>19</v>
      </c>
      <c r="P259" s="17" t="str">
        <f t="shared" ca="1" si="17"/>
        <v>Faltan 19 días</v>
      </c>
      <c r="Q259" s="50">
        <f t="shared" si="18"/>
        <v>46272</v>
      </c>
      <c r="R259" s="17" t="str">
        <f>IF(M259=1,COUNTIFS($Q$2:Q259,Q259,$M$2:M259,1),"")</f>
        <v/>
      </c>
      <c r="S259" s="50" t="str">
        <f t="shared" si="19"/>
        <v/>
      </c>
    </row>
    <row r="260" spans="1:19" ht="45" customHeight="1" x14ac:dyDescent="0.35">
      <c r="A260" s="66">
        <v>46273</v>
      </c>
      <c r="B260" s="67" t="s">
        <v>96</v>
      </c>
      <c r="C260" s="67" t="s">
        <v>97</v>
      </c>
      <c r="D260" s="67" t="s">
        <v>98</v>
      </c>
      <c r="E260" s="67" t="s">
        <v>89</v>
      </c>
      <c r="F260" s="67" t="s">
        <v>179</v>
      </c>
      <c r="G260" s="67" t="s">
        <v>94</v>
      </c>
      <c r="H260" s="67" t="s">
        <v>87</v>
      </c>
      <c r="I260" s="67" t="s">
        <v>50</v>
      </c>
      <c r="J260" s="67" t="s">
        <v>88</v>
      </c>
      <c r="K260" s="67"/>
      <c r="L260" s="68" t="s">
        <v>99</v>
      </c>
      <c r="M260" s="68">
        <f>--AND(Configuración!$B$6&lt;&gt;"",OR(E260="Todas",ISNUMBER(SEARCH(Configuración!$B$7,E260))),IF(L260="Monotributo",Configuración!$B$10="Sí",IF(L260="Autónomos",Configuración!$B$11="Sí",IF(L260="Responsable inscripto",Configuración!$B$12="Sí",IF(L260="Empleador",Configuración!$B$13="Sí",IF(L260="Casas particulares",Configuración!$B$14="Sí",IF(L260="Retenciones",Configuración!$B$15="Sí",IF(L260="Sociedad",Configuración!$B$16="Sí",IF(L260="Persona humana",Configuración!$B$17="Sí",IF(L260="Convenio Multilateral",Configuración!$B$18="Sí",FALSE()))))))))))</f>
        <v>0</v>
      </c>
      <c r="N260" s="68" t="str">
        <f>IF(M260=1,COUNTIF($M$2:M260,1),"")</f>
        <v/>
      </c>
      <c r="O260" s="50">
        <f t="shared" ca="1" si="16"/>
        <v>20</v>
      </c>
      <c r="P260" s="17" t="str">
        <f t="shared" ca="1" si="17"/>
        <v>Faltan 20 días</v>
      </c>
      <c r="Q260" s="50">
        <f t="shared" si="18"/>
        <v>46273</v>
      </c>
      <c r="R260" s="17" t="str">
        <f>IF(M260=1,COUNTIFS($Q$2:Q260,Q260,$M$2:M260,1),"")</f>
        <v/>
      </c>
      <c r="S260" s="50" t="str">
        <f t="shared" si="19"/>
        <v/>
      </c>
    </row>
    <row r="261" spans="1:19" ht="45" customHeight="1" x14ac:dyDescent="0.35">
      <c r="A261" s="66">
        <v>46274</v>
      </c>
      <c r="B261" s="67" t="s">
        <v>96</v>
      </c>
      <c r="C261" s="67" t="s">
        <v>97</v>
      </c>
      <c r="D261" s="67" t="s">
        <v>98</v>
      </c>
      <c r="E261" s="67" t="s">
        <v>90</v>
      </c>
      <c r="F261" s="67" t="s">
        <v>179</v>
      </c>
      <c r="G261" s="67" t="s">
        <v>94</v>
      </c>
      <c r="H261" s="67" t="s">
        <v>87</v>
      </c>
      <c r="I261" s="67" t="s">
        <v>50</v>
      </c>
      <c r="J261" s="67" t="s">
        <v>88</v>
      </c>
      <c r="K261" s="67"/>
      <c r="L261" s="68" t="s">
        <v>99</v>
      </c>
      <c r="M261" s="68">
        <f>--AND(Configuración!$B$6&lt;&gt;"",OR(E261="Todas",ISNUMBER(SEARCH(Configuración!$B$7,E261))),IF(L261="Monotributo",Configuración!$B$10="Sí",IF(L261="Autónomos",Configuración!$B$11="Sí",IF(L261="Responsable inscripto",Configuración!$B$12="Sí",IF(L261="Empleador",Configuración!$B$13="Sí",IF(L261="Casas particulares",Configuración!$B$14="Sí",IF(L261="Retenciones",Configuración!$B$15="Sí",IF(L261="Sociedad",Configuración!$B$16="Sí",IF(L261="Persona humana",Configuración!$B$17="Sí",IF(L261="Convenio Multilateral",Configuración!$B$18="Sí",FALSE()))))))))))</f>
        <v>0</v>
      </c>
      <c r="N261" s="68" t="str">
        <f>IF(M261=1,COUNTIF($M$2:M261,1),"")</f>
        <v/>
      </c>
      <c r="O261" s="50">
        <f t="shared" ca="1" si="16"/>
        <v>21</v>
      </c>
      <c r="P261" s="17" t="str">
        <f t="shared" ca="1" si="17"/>
        <v>Faltan 21 días</v>
      </c>
      <c r="Q261" s="50">
        <f t="shared" si="18"/>
        <v>46274</v>
      </c>
      <c r="R261" s="17" t="str">
        <f>IF(M261=1,COUNTIFS($Q$2:Q261,Q261,$M$2:M261,1),"")</f>
        <v/>
      </c>
      <c r="S261" s="50" t="str">
        <f t="shared" si="19"/>
        <v/>
      </c>
    </row>
    <row r="262" spans="1:19" ht="45" customHeight="1" x14ac:dyDescent="0.35">
      <c r="A262" s="66">
        <v>46274</v>
      </c>
      <c r="B262" s="67" t="s">
        <v>100</v>
      </c>
      <c r="C262" s="67" t="s">
        <v>101</v>
      </c>
      <c r="D262" s="67" t="s">
        <v>93</v>
      </c>
      <c r="E262" s="67" t="s">
        <v>84</v>
      </c>
      <c r="F262" s="67" t="s">
        <v>179</v>
      </c>
      <c r="G262" s="67" t="s">
        <v>94</v>
      </c>
      <c r="H262" s="67" t="s">
        <v>87</v>
      </c>
      <c r="I262" s="67" t="s">
        <v>50</v>
      </c>
      <c r="J262" s="67" t="s">
        <v>88</v>
      </c>
      <c r="K262" s="67"/>
      <c r="L262" s="68" t="s">
        <v>95</v>
      </c>
      <c r="M262" s="68">
        <f>--AND(Configuración!$B$6&lt;&gt;"",OR(E262="Todas",ISNUMBER(SEARCH(Configuración!$B$7,E262))),IF(L262="Monotributo",Configuración!$B$10="Sí",IF(L262="Autónomos",Configuración!$B$11="Sí",IF(L262="Responsable inscripto",Configuración!$B$12="Sí",IF(L262="Empleador",Configuración!$B$13="Sí",IF(L262="Casas particulares",Configuración!$B$14="Sí",IF(L262="Retenciones",Configuración!$B$15="Sí",IF(L262="Sociedad",Configuración!$B$16="Sí",IF(L262="Persona humana",Configuración!$B$17="Sí",IF(L262="Convenio Multilateral",Configuración!$B$18="Sí",FALSE()))))))))))</f>
        <v>0</v>
      </c>
      <c r="N262" s="68" t="str">
        <f>IF(M262=1,COUNTIF($M$2:M262,1),"")</f>
        <v/>
      </c>
      <c r="O262" s="50">
        <f t="shared" ca="1" si="16"/>
        <v>21</v>
      </c>
      <c r="P262" s="17" t="str">
        <f t="shared" ca="1" si="17"/>
        <v>Faltan 21 días</v>
      </c>
      <c r="Q262" s="50">
        <f t="shared" si="18"/>
        <v>46274</v>
      </c>
      <c r="R262" s="17" t="str">
        <f>IF(M262=1,COUNTIFS($Q$2:Q262,Q262,$M$2:M262,1),"")</f>
        <v/>
      </c>
      <c r="S262" s="50" t="str">
        <f t="shared" si="19"/>
        <v/>
      </c>
    </row>
    <row r="263" spans="1:19" ht="45" customHeight="1" x14ac:dyDescent="0.35">
      <c r="A263" s="66">
        <v>46275</v>
      </c>
      <c r="B263" s="67" t="s">
        <v>29</v>
      </c>
      <c r="C263" s="67" t="s">
        <v>102</v>
      </c>
      <c r="D263" s="67" t="s">
        <v>103</v>
      </c>
      <c r="E263" s="67" t="s">
        <v>104</v>
      </c>
      <c r="F263" s="67" t="s">
        <v>179</v>
      </c>
      <c r="G263" s="67" t="s">
        <v>86</v>
      </c>
      <c r="H263" s="67" t="s">
        <v>87</v>
      </c>
      <c r="I263" s="67" t="s">
        <v>50</v>
      </c>
      <c r="J263" s="67" t="s">
        <v>88</v>
      </c>
      <c r="K263" s="67"/>
      <c r="L263" s="68" t="s">
        <v>29</v>
      </c>
      <c r="M263" s="68">
        <f>--AND(Configuración!$B$6&lt;&gt;"",OR(E263="Todas",ISNUMBER(SEARCH(Configuración!$B$7,E263))),IF(L263="Monotributo",Configuración!$B$10="Sí",IF(L263="Autónomos",Configuración!$B$11="Sí",IF(L263="Responsable inscripto",Configuración!$B$12="Sí",IF(L263="Empleador",Configuración!$B$13="Sí",IF(L263="Casas particulares",Configuración!$B$14="Sí",IF(L263="Retenciones",Configuración!$B$15="Sí",IF(L263="Sociedad",Configuración!$B$16="Sí",IF(L263="Persona humana",Configuración!$B$17="Sí",IF(L263="Convenio Multilateral",Configuración!$B$18="Sí",FALSE()))))))))))</f>
        <v>0</v>
      </c>
      <c r="N263" s="68" t="str">
        <f>IF(M263=1,COUNTIF($M$2:M263,1),"")</f>
        <v/>
      </c>
      <c r="O263" s="50">
        <f t="shared" ca="1" si="16"/>
        <v>22</v>
      </c>
      <c r="P263" s="17" t="str">
        <f t="shared" ca="1" si="17"/>
        <v>Faltan 22 días</v>
      </c>
      <c r="Q263" s="50">
        <f t="shared" si="18"/>
        <v>46275</v>
      </c>
      <c r="R263" s="17" t="str">
        <f>IF(M263=1,COUNTIFS($Q$2:Q263,Q263,$M$2:M263,1),"")</f>
        <v/>
      </c>
      <c r="S263" s="50" t="str">
        <f t="shared" si="19"/>
        <v/>
      </c>
    </row>
    <row r="264" spans="1:19" ht="45" customHeight="1" x14ac:dyDescent="0.35">
      <c r="A264" s="66">
        <v>46275</v>
      </c>
      <c r="B264" s="67" t="s">
        <v>100</v>
      </c>
      <c r="C264" s="67" t="s">
        <v>101</v>
      </c>
      <c r="D264" s="67" t="s">
        <v>93</v>
      </c>
      <c r="E264" s="67" t="s">
        <v>89</v>
      </c>
      <c r="F264" s="67" t="s">
        <v>179</v>
      </c>
      <c r="G264" s="67" t="s">
        <v>94</v>
      </c>
      <c r="H264" s="67" t="s">
        <v>87</v>
      </c>
      <c r="I264" s="67" t="s">
        <v>50</v>
      </c>
      <c r="J264" s="67" t="s">
        <v>88</v>
      </c>
      <c r="K264" s="67"/>
      <c r="L264" s="68" t="s">
        <v>95</v>
      </c>
      <c r="M264" s="68">
        <f>--AND(Configuración!$B$6&lt;&gt;"",OR(E264="Todas",ISNUMBER(SEARCH(Configuración!$B$7,E264))),IF(L264="Monotributo",Configuración!$B$10="Sí",IF(L264="Autónomos",Configuración!$B$11="Sí",IF(L264="Responsable inscripto",Configuración!$B$12="Sí",IF(L264="Empleador",Configuración!$B$13="Sí",IF(L264="Casas particulares",Configuración!$B$14="Sí",IF(L264="Retenciones",Configuración!$B$15="Sí",IF(L264="Sociedad",Configuración!$B$16="Sí",IF(L264="Persona humana",Configuración!$B$17="Sí",IF(L264="Convenio Multilateral",Configuración!$B$18="Sí",FALSE()))))))))))</f>
        <v>0</v>
      </c>
      <c r="N264" s="68" t="str">
        <f>IF(M264=1,COUNTIF($M$2:M264,1),"")</f>
        <v/>
      </c>
      <c r="O264" s="50">
        <f t="shared" ca="1" si="16"/>
        <v>22</v>
      </c>
      <c r="P264" s="17" t="str">
        <f t="shared" ca="1" si="17"/>
        <v>Faltan 22 días</v>
      </c>
      <c r="Q264" s="50">
        <f t="shared" si="18"/>
        <v>46275</v>
      </c>
      <c r="R264" s="17" t="str">
        <f>IF(M264=1,COUNTIFS($Q$2:Q264,Q264,$M$2:M264,1),"")</f>
        <v/>
      </c>
      <c r="S264" s="50" t="str">
        <f t="shared" si="19"/>
        <v/>
      </c>
    </row>
    <row r="265" spans="1:19" ht="45" customHeight="1" x14ac:dyDescent="0.35">
      <c r="A265" s="66">
        <v>46276</v>
      </c>
      <c r="B265" s="67" t="s">
        <v>100</v>
      </c>
      <c r="C265" s="67" t="s">
        <v>101</v>
      </c>
      <c r="D265" s="67" t="s">
        <v>93</v>
      </c>
      <c r="E265" s="67" t="s">
        <v>90</v>
      </c>
      <c r="F265" s="67" t="s">
        <v>179</v>
      </c>
      <c r="G265" s="67" t="s">
        <v>94</v>
      </c>
      <c r="H265" s="67" t="s">
        <v>87</v>
      </c>
      <c r="I265" s="67" t="s">
        <v>50</v>
      </c>
      <c r="J265" s="67" t="s">
        <v>88</v>
      </c>
      <c r="K265" s="67"/>
      <c r="L265" s="68" t="s">
        <v>95</v>
      </c>
      <c r="M265" s="68">
        <f>--AND(Configuración!$B$6&lt;&gt;"",OR(E265="Todas",ISNUMBER(SEARCH(Configuración!$B$7,E265))),IF(L265="Monotributo",Configuración!$B$10="Sí",IF(L265="Autónomos",Configuración!$B$11="Sí",IF(L265="Responsable inscripto",Configuración!$B$12="Sí",IF(L265="Empleador",Configuración!$B$13="Sí",IF(L265="Casas particulares",Configuración!$B$14="Sí",IF(L265="Retenciones",Configuración!$B$15="Sí",IF(L265="Sociedad",Configuración!$B$16="Sí",IF(L265="Persona humana",Configuración!$B$17="Sí",IF(L265="Convenio Multilateral",Configuración!$B$18="Sí",FALSE()))))))))))</f>
        <v>0</v>
      </c>
      <c r="N265" s="68" t="str">
        <f>IF(M265=1,COUNTIF($M$2:M265,1),"")</f>
        <v/>
      </c>
      <c r="O265" s="50">
        <f t="shared" ca="1" si="16"/>
        <v>23</v>
      </c>
      <c r="P265" s="17" t="str">
        <f t="shared" ca="1" si="17"/>
        <v>Faltan 23 días</v>
      </c>
      <c r="Q265" s="50">
        <f t="shared" si="18"/>
        <v>46276</v>
      </c>
      <c r="R265" s="17" t="str">
        <f>IF(M265=1,COUNTIFS($Q$2:Q265,Q265,$M$2:M265,1),"")</f>
        <v/>
      </c>
      <c r="S265" s="50" t="str">
        <f t="shared" si="19"/>
        <v/>
      </c>
    </row>
    <row r="266" spans="1:19" ht="45" customHeight="1" x14ac:dyDescent="0.35">
      <c r="A266" s="66">
        <v>46279.625</v>
      </c>
      <c r="B266" s="67" t="s">
        <v>105</v>
      </c>
      <c r="C266" s="67" t="s">
        <v>106</v>
      </c>
      <c r="D266" s="67" t="s">
        <v>107</v>
      </c>
      <c r="E266" s="67" t="s">
        <v>84</v>
      </c>
      <c r="F266" s="67" t="s">
        <v>157</v>
      </c>
      <c r="G266" s="67" t="s">
        <v>109</v>
      </c>
      <c r="H266" s="67" t="s">
        <v>87</v>
      </c>
      <c r="I266" s="67" t="s">
        <v>50</v>
      </c>
      <c r="J266" s="67" t="s">
        <v>110</v>
      </c>
      <c r="K266" s="67" t="s">
        <v>111</v>
      </c>
      <c r="L266" s="68" t="s">
        <v>112</v>
      </c>
      <c r="M266" s="68">
        <f>--AND(Configuración!$B$6&lt;&gt;"",OR(E266="Todas",ISNUMBER(SEARCH(Configuración!$B$7,E266))),IF(L266="Monotributo",Configuración!$B$10="Sí",IF(L266="Autónomos",Configuración!$B$11="Sí",IF(L266="Responsable inscripto",Configuración!$B$12="Sí",IF(L266="Empleador",Configuración!$B$13="Sí",IF(L266="Casas particulares",Configuración!$B$14="Sí",IF(L266="Retenciones",Configuración!$B$15="Sí",IF(L266="Sociedad",Configuración!$B$16="Sí",IF(L266="Persona humana",Configuración!$B$17="Sí",IF(L266="Convenio Multilateral",Configuración!$B$18="Sí",FALSE()))))))))))</f>
        <v>0</v>
      </c>
      <c r="N266" s="68" t="str">
        <f>IF(M266=1,COUNTIF($M$2:M266,1),"")</f>
        <v/>
      </c>
      <c r="O266" s="50">
        <f t="shared" ca="1" si="16"/>
        <v>26</v>
      </c>
      <c r="P266" s="17" t="str">
        <f t="shared" ca="1" si="17"/>
        <v>Faltan 26 días</v>
      </c>
      <c r="Q266" s="50">
        <f t="shared" si="18"/>
        <v>46279</v>
      </c>
      <c r="R266" s="17" t="str">
        <f>IF(M266=1,COUNTIFS($Q$2:Q266,Q266,$M$2:M266,1),"")</f>
        <v/>
      </c>
      <c r="S266" s="50" t="str">
        <f t="shared" si="19"/>
        <v/>
      </c>
    </row>
    <row r="267" spans="1:19" ht="45" customHeight="1" x14ac:dyDescent="0.35">
      <c r="A267" s="66">
        <v>46280</v>
      </c>
      <c r="B267" s="67" t="s">
        <v>29</v>
      </c>
      <c r="C267" s="67" t="s">
        <v>113</v>
      </c>
      <c r="D267" s="67" t="s">
        <v>114</v>
      </c>
      <c r="E267" s="67" t="s">
        <v>104</v>
      </c>
      <c r="F267" s="67" t="s">
        <v>179</v>
      </c>
      <c r="G267" s="67" t="s">
        <v>86</v>
      </c>
      <c r="H267" s="67" t="s">
        <v>87</v>
      </c>
      <c r="I267" s="67" t="s">
        <v>50</v>
      </c>
      <c r="J267" s="67" t="s">
        <v>88</v>
      </c>
      <c r="K267" s="67"/>
      <c r="L267" s="68" t="s">
        <v>29</v>
      </c>
      <c r="M267" s="68">
        <f>--AND(Configuración!$B$6&lt;&gt;"",OR(E267="Todas",ISNUMBER(SEARCH(Configuración!$B$7,E267))),IF(L267="Monotributo",Configuración!$B$10="Sí",IF(L267="Autónomos",Configuración!$B$11="Sí",IF(L267="Responsable inscripto",Configuración!$B$12="Sí",IF(L267="Empleador",Configuración!$B$13="Sí",IF(L267="Casas particulares",Configuración!$B$14="Sí",IF(L267="Retenciones",Configuración!$B$15="Sí",IF(L267="Sociedad",Configuración!$B$16="Sí",IF(L267="Persona humana",Configuración!$B$17="Sí",IF(L267="Convenio Multilateral",Configuración!$B$18="Sí",FALSE()))))))))))</f>
        <v>0</v>
      </c>
      <c r="N267" s="68" t="str">
        <f>IF(M267=1,COUNTIF($M$2:M267,1),"")</f>
        <v/>
      </c>
      <c r="O267" s="50">
        <f t="shared" ca="1" si="16"/>
        <v>27</v>
      </c>
      <c r="P267" s="17" t="str">
        <f t="shared" ca="1" si="17"/>
        <v>Faltan 27 días</v>
      </c>
      <c r="Q267" s="50">
        <f t="shared" si="18"/>
        <v>46280</v>
      </c>
      <c r="R267" s="17" t="str">
        <f>IF(M267=1,COUNTIFS($Q$2:Q267,Q267,$M$2:M267,1),"")</f>
        <v/>
      </c>
      <c r="S267" s="50" t="str">
        <f t="shared" si="19"/>
        <v/>
      </c>
    </row>
    <row r="268" spans="1:19" ht="45" customHeight="1" x14ac:dyDescent="0.35">
      <c r="A268" s="66">
        <v>46280.625</v>
      </c>
      <c r="B268" s="67" t="s">
        <v>105</v>
      </c>
      <c r="C268" s="67" t="s">
        <v>106</v>
      </c>
      <c r="D268" s="67" t="s">
        <v>107</v>
      </c>
      <c r="E268" s="67" t="s">
        <v>89</v>
      </c>
      <c r="F268" s="67" t="s">
        <v>157</v>
      </c>
      <c r="G268" s="67" t="s">
        <v>109</v>
      </c>
      <c r="H268" s="67" t="s">
        <v>87</v>
      </c>
      <c r="I268" s="67" t="s">
        <v>50</v>
      </c>
      <c r="J268" s="67" t="s">
        <v>110</v>
      </c>
      <c r="K268" s="67" t="s">
        <v>111</v>
      </c>
      <c r="L268" s="68" t="s">
        <v>112</v>
      </c>
      <c r="M268" s="68">
        <f>--AND(Configuración!$B$6&lt;&gt;"",OR(E268="Todas",ISNUMBER(SEARCH(Configuración!$B$7,E268))),IF(L268="Monotributo",Configuración!$B$10="Sí",IF(L268="Autónomos",Configuración!$B$11="Sí",IF(L268="Responsable inscripto",Configuración!$B$12="Sí",IF(L268="Empleador",Configuración!$B$13="Sí",IF(L268="Casas particulares",Configuración!$B$14="Sí",IF(L268="Retenciones",Configuración!$B$15="Sí",IF(L268="Sociedad",Configuración!$B$16="Sí",IF(L268="Persona humana",Configuración!$B$17="Sí",IF(L268="Convenio Multilateral",Configuración!$B$18="Sí",FALSE()))))))))))</f>
        <v>0</v>
      </c>
      <c r="N268" s="68" t="str">
        <f>IF(M268=1,COUNTIF($M$2:M268,1),"")</f>
        <v/>
      </c>
      <c r="O268" s="50">
        <f t="shared" ca="1" si="16"/>
        <v>27</v>
      </c>
      <c r="P268" s="17" t="str">
        <f t="shared" ca="1" si="17"/>
        <v>Faltan 27 días</v>
      </c>
      <c r="Q268" s="50">
        <f t="shared" si="18"/>
        <v>46280</v>
      </c>
      <c r="R268" s="17" t="str">
        <f>IF(M268=1,COUNTIFS($Q$2:Q268,Q268,$M$2:M268,1),"")</f>
        <v/>
      </c>
      <c r="S268" s="50" t="str">
        <f t="shared" si="19"/>
        <v/>
      </c>
    </row>
    <row r="269" spans="1:19" ht="45" customHeight="1" x14ac:dyDescent="0.35">
      <c r="A269" s="66">
        <v>46280.625</v>
      </c>
      <c r="B269" s="67" t="s">
        <v>137</v>
      </c>
      <c r="C269" s="67" t="s">
        <v>138</v>
      </c>
      <c r="D269" s="67" t="s">
        <v>139</v>
      </c>
      <c r="E269" s="67" t="s">
        <v>140</v>
      </c>
      <c r="F269" s="67" t="s">
        <v>182</v>
      </c>
      <c r="G269" s="67" t="s">
        <v>94</v>
      </c>
      <c r="H269" s="67" t="s">
        <v>142</v>
      </c>
      <c r="I269" s="67" t="s">
        <v>50</v>
      </c>
      <c r="J269" s="67" t="s">
        <v>150</v>
      </c>
      <c r="K269" s="67" t="s">
        <v>151</v>
      </c>
      <c r="L269" s="68" t="s">
        <v>33</v>
      </c>
      <c r="M269" s="68">
        <f>--AND(Configuración!$B$6&lt;&gt;"",OR(E269="Todas",ISNUMBER(SEARCH(Configuración!$B$7,E269))),IF(L269="Monotributo",Configuración!$B$10="Sí",IF(L269="Autónomos",Configuración!$B$11="Sí",IF(L269="Responsable inscripto",Configuración!$B$12="Sí",IF(L269="Empleador",Configuración!$B$13="Sí",IF(L269="Casas particulares",Configuración!$B$14="Sí",IF(L269="Retenciones",Configuración!$B$15="Sí",IF(L269="Sociedad",Configuración!$B$16="Sí",IF(L269="Persona humana",Configuración!$B$17="Sí",IF(L269="Convenio Multilateral",Configuración!$B$18="Sí",FALSE()))))))))))</f>
        <v>0</v>
      </c>
      <c r="N269" s="68" t="str">
        <f>IF(M269=1,COUNTIF($M$2:M269,1),"")</f>
        <v/>
      </c>
      <c r="O269" s="50">
        <f t="shared" ca="1" si="16"/>
        <v>27</v>
      </c>
      <c r="P269" s="17" t="str">
        <f t="shared" ca="1" si="17"/>
        <v>Faltan 27 días</v>
      </c>
      <c r="Q269" s="50">
        <f t="shared" si="18"/>
        <v>46280</v>
      </c>
      <c r="R269" s="17" t="str">
        <f>IF(M269=1,COUNTIFS($Q$2:Q269,Q269,$M$2:M269,1),"")</f>
        <v/>
      </c>
      <c r="S269" s="50" t="str">
        <f t="shared" si="19"/>
        <v/>
      </c>
    </row>
    <row r="270" spans="1:19" ht="45" customHeight="1" x14ac:dyDescent="0.35">
      <c r="A270" s="66">
        <v>46281.625</v>
      </c>
      <c r="B270" s="67" t="s">
        <v>105</v>
      </c>
      <c r="C270" s="67" t="s">
        <v>106</v>
      </c>
      <c r="D270" s="67" t="s">
        <v>107</v>
      </c>
      <c r="E270" s="67" t="s">
        <v>90</v>
      </c>
      <c r="F270" s="67" t="s">
        <v>157</v>
      </c>
      <c r="G270" s="67" t="s">
        <v>109</v>
      </c>
      <c r="H270" s="67" t="s">
        <v>87</v>
      </c>
      <c r="I270" s="67" t="s">
        <v>50</v>
      </c>
      <c r="J270" s="67" t="s">
        <v>110</v>
      </c>
      <c r="K270" s="67" t="s">
        <v>111</v>
      </c>
      <c r="L270" s="68" t="s">
        <v>112</v>
      </c>
      <c r="M270" s="68">
        <f>--AND(Configuración!$B$6&lt;&gt;"",OR(E270="Todas",ISNUMBER(SEARCH(Configuración!$B$7,E270))),IF(L270="Monotributo",Configuración!$B$10="Sí",IF(L270="Autónomos",Configuración!$B$11="Sí",IF(L270="Responsable inscripto",Configuración!$B$12="Sí",IF(L270="Empleador",Configuración!$B$13="Sí",IF(L270="Casas particulares",Configuración!$B$14="Sí",IF(L270="Retenciones",Configuración!$B$15="Sí",IF(L270="Sociedad",Configuración!$B$16="Sí",IF(L270="Persona humana",Configuración!$B$17="Sí",IF(L270="Convenio Multilateral",Configuración!$B$18="Sí",FALSE()))))))))))</f>
        <v>0</v>
      </c>
      <c r="N270" s="68" t="str">
        <f>IF(M270=1,COUNTIF($M$2:M270,1),"")</f>
        <v/>
      </c>
      <c r="O270" s="50">
        <f t="shared" ca="1" si="16"/>
        <v>28</v>
      </c>
      <c r="P270" s="17" t="str">
        <f t="shared" ca="1" si="17"/>
        <v>Faltan 28 días</v>
      </c>
      <c r="Q270" s="50">
        <f t="shared" si="18"/>
        <v>46281</v>
      </c>
      <c r="R270" s="17" t="str">
        <f>IF(M270=1,COUNTIFS($Q$2:Q270,Q270,$M$2:M270,1),"")</f>
        <v/>
      </c>
      <c r="S270" s="50" t="str">
        <f t="shared" si="19"/>
        <v/>
      </c>
    </row>
    <row r="271" spans="1:19" ht="45" customHeight="1" x14ac:dyDescent="0.35">
      <c r="A271" s="66">
        <v>46281.625</v>
      </c>
      <c r="B271" s="67" t="s">
        <v>137</v>
      </c>
      <c r="C271" s="67" t="s">
        <v>138</v>
      </c>
      <c r="D271" s="67" t="s">
        <v>139</v>
      </c>
      <c r="E271" s="67" t="s">
        <v>145</v>
      </c>
      <c r="F271" s="67" t="s">
        <v>182</v>
      </c>
      <c r="G271" s="67" t="s">
        <v>94</v>
      </c>
      <c r="H271" s="67" t="s">
        <v>142</v>
      </c>
      <c r="I271" s="67" t="s">
        <v>50</v>
      </c>
      <c r="J271" s="67" t="s">
        <v>150</v>
      </c>
      <c r="K271" s="67" t="s">
        <v>151</v>
      </c>
      <c r="L271" s="68" t="s">
        <v>33</v>
      </c>
      <c r="M271" s="68">
        <f>--AND(Configuración!$B$6&lt;&gt;"",OR(E271="Todas",ISNUMBER(SEARCH(Configuración!$B$7,E271))),IF(L271="Monotributo",Configuración!$B$10="Sí",IF(L271="Autónomos",Configuración!$B$11="Sí",IF(L271="Responsable inscripto",Configuración!$B$12="Sí",IF(L271="Empleador",Configuración!$B$13="Sí",IF(L271="Casas particulares",Configuración!$B$14="Sí",IF(L271="Retenciones",Configuración!$B$15="Sí",IF(L271="Sociedad",Configuración!$B$16="Sí",IF(L271="Persona humana",Configuración!$B$17="Sí",IF(L271="Convenio Multilateral",Configuración!$B$18="Sí",FALSE()))))))))))</f>
        <v>0</v>
      </c>
      <c r="N271" s="68" t="str">
        <f>IF(M271=1,COUNTIF($M$2:M271,1),"")</f>
        <v/>
      </c>
      <c r="O271" s="50">
        <f t="shared" ca="1" si="16"/>
        <v>28</v>
      </c>
      <c r="P271" s="17" t="str">
        <f t="shared" ca="1" si="17"/>
        <v>Faltan 28 días</v>
      </c>
      <c r="Q271" s="50">
        <f t="shared" si="18"/>
        <v>46281</v>
      </c>
      <c r="R271" s="17" t="str">
        <f>IF(M271=1,COUNTIFS($Q$2:Q271,Q271,$M$2:M271,1),"")</f>
        <v/>
      </c>
      <c r="S271" s="50" t="str">
        <f t="shared" si="19"/>
        <v/>
      </c>
    </row>
    <row r="272" spans="1:19" ht="45" customHeight="1" x14ac:dyDescent="0.35">
      <c r="A272" s="66">
        <v>46282.625</v>
      </c>
      <c r="B272" s="67" t="s">
        <v>137</v>
      </c>
      <c r="C272" s="67" t="s">
        <v>138</v>
      </c>
      <c r="D272" s="67" t="s">
        <v>139</v>
      </c>
      <c r="E272" s="67" t="s">
        <v>146</v>
      </c>
      <c r="F272" s="67" t="s">
        <v>182</v>
      </c>
      <c r="G272" s="67" t="s">
        <v>94</v>
      </c>
      <c r="H272" s="67" t="s">
        <v>142</v>
      </c>
      <c r="I272" s="67" t="s">
        <v>50</v>
      </c>
      <c r="J272" s="67" t="s">
        <v>150</v>
      </c>
      <c r="K272" s="67" t="s">
        <v>151</v>
      </c>
      <c r="L272" s="68" t="s">
        <v>33</v>
      </c>
      <c r="M272" s="68">
        <f>--AND(Configuración!$B$6&lt;&gt;"",OR(E272="Todas",ISNUMBER(SEARCH(Configuración!$B$7,E272))),IF(L272="Monotributo",Configuración!$B$10="Sí",IF(L272="Autónomos",Configuración!$B$11="Sí",IF(L272="Responsable inscripto",Configuración!$B$12="Sí",IF(L272="Empleador",Configuración!$B$13="Sí",IF(L272="Casas particulares",Configuración!$B$14="Sí",IF(L272="Retenciones",Configuración!$B$15="Sí",IF(L272="Sociedad",Configuración!$B$16="Sí",IF(L272="Persona humana",Configuración!$B$17="Sí",IF(L272="Convenio Multilateral",Configuración!$B$18="Sí",FALSE()))))))))))</f>
        <v>0</v>
      </c>
      <c r="N272" s="68" t="str">
        <f>IF(M272=1,COUNTIF($M$2:M272,1),"")</f>
        <v/>
      </c>
      <c r="O272" s="50">
        <f t="shared" ca="1" si="16"/>
        <v>29</v>
      </c>
      <c r="P272" s="17" t="str">
        <f t="shared" ca="1" si="17"/>
        <v>Faltan 29 días</v>
      </c>
      <c r="Q272" s="50">
        <f t="shared" si="18"/>
        <v>46282</v>
      </c>
      <c r="R272" s="17" t="str">
        <f>IF(M272=1,COUNTIFS($Q$2:Q272,Q272,$M$2:M272,1),"")</f>
        <v/>
      </c>
      <c r="S272" s="50" t="str">
        <f t="shared" si="19"/>
        <v/>
      </c>
    </row>
    <row r="273" spans="1:19" ht="45" customHeight="1" x14ac:dyDescent="0.35">
      <c r="A273" s="66">
        <v>46283</v>
      </c>
      <c r="B273" s="67" t="s">
        <v>115</v>
      </c>
      <c r="C273" s="67" t="s">
        <v>116</v>
      </c>
      <c r="D273" s="67" t="s">
        <v>117</v>
      </c>
      <c r="E273" s="67" t="s">
        <v>84</v>
      </c>
      <c r="F273" s="67" t="s">
        <v>179</v>
      </c>
      <c r="G273" s="67" t="s">
        <v>94</v>
      </c>
      <c r="H273" s="67" t="s">
        <v>87</v>
      </c>
      <c r="I273" s="67" t="s">
        <v>50</v>
      </c>
      <c r="J273" s="67" t="s">
        <v>88</v>
      </c>
      <c r="K273" s="67"/>
      <c r="L273" s="68" t="s">
        <v>118</v>
      </c>
      <c r="M273" s="68">
        <f>--AND(Configuración!$B$6&lt;&gt;"",OR(E273="Todas",ISNUMBER(SEARCH(Configuración!$B$7,E273))),IF(L273="Monotributo",Configuración!$B$10="Sí",IF(L273="Autónomos",Configuración!$B$11="Sí",IF(L273="Responsable inscripto",Configuración!$B$12="Sí",IF(L273="Empleador",Configuración!$B$13="Sí",IF(L273="Casas particulares",Configuración!$B$14="Sí",IF(L273="Retenciones",Configuración!$B$15="Sí",IF(L273="Sociedad",Configuración!$B$16="Sí",IF(L273="Persona humana",Configuración!$B$17="Sí",IF(L273="Convenio Multilateral",Configuración!$B$18="Sí",FALSE()))))))))))</f>
        <v>0</v>
      </c>
      <c r="N273" s="68" t="str">
        <f>IF(M273=1,COUNTIF($M$2:M273,1),"")</f>
        <v/>
      </c>
      <c r="O273" s="50">
        <f t="shared" ca="1" si="16"/>
        <v>30</v>
      </c>
      <c r="P273" s="17" t="str">
        <f t="shared" ca="1" si="17"/>
        <v>Faltan 30 días</v>
      </c>
      <c r="Q273" s="50">
        <f t="shared" si="18"/>
        <v>46283</v>
      </c>
      <c r="R273" s="17" t="str">
        <f>IF(M273=1,COUNTIFS($Q$2:Q273,Q273,$M$2:M273,1),"")</f>
        <v/>
      </c>
      <c r="S273" s="50" t="str">
        <f t="shared" si="19"/>
        <v/>
      </c>
    </row>
    <row r="274" spans="1:19" ht="45" customHeight="1" x14ac:dyDescent="0.35">
      <c r="A274" s="66">
        <v>46283</v>
      </c>
      <c r="B274" s="67" t="s">
        <v>119</v>
      </c>
      <c r="C274" s="67" t="s">
        <v>120</v>
      </c>
      <c r="D274" s="67" t="s">
        <v>121</v>
      </c>
      <c r="E274" s="67" t="s">
        <v>84</v>
      </c>
      <c r="F274" s="67" t="s">
        <v>179</v>
      </c>
      <c r="G274" s="67" t="s">
        <v>94</v>
      </c>
      <c r="H274" s="67" t="s">
        <v>87</v>
      </c>
      <c r="I274" s="67" t="s">
        <v>50</v>
      </c>
      <c r="J274" s="67" t="s">
        <v>88</v>
      </c>
      <c r="K274" s="67"/>
      <c r="L274" s="68" t="s">
        <v>118</v>
      </c>
      <c r="M274" s="68">
        <f>--AND(Configuración!$B$6&lt;&gt;"",OR(E274="Todas",ISNUMBER(SEARCH(Configuración!$B$7,E274))),IF(L274="Monotributo",Configuración!$B$10="Sí",IF(L274="Autónomos",Configuración!$B$11="Sí",IF(L274="Responsable inscripto",Configuración!$B$12="Sí",IF(L274="Empleador",Configuración!$B$13="Sí",IF(L274="Casas particulares",Configuración!$B$14="Sí",IF(L274="Retenciones",Configuración!$B$15="Sí",IF(L274="Sociedad",Configuración!$B$16="Sí",IF(L274="Persona humana",Configuración!$B$17="Sí",IF(L274="Convenio Multilateral",Configuración!$B$18="Sí",FALSE()))))))))))</f>
        <v>0</v>
      </c>
      <c r="N274" s="68" t="str">
        <f>IF(M274=1,COUNTIF($M$2:M274,1),"")</f>
        <v/>
      </c>
      <c r="O274" s="50">
        <f t="shared" ca="1" si="16"/>
        <v>30</v>
      </c>
      <c r="P274" s="17" t="str">
        <f t="shared" ca="1" si="17"/>
        <v>Faltan 30 días</v>
      </c>
      <c r="Q274" s="50">
        <f t="shared" si="18"/>
        <v>46283</v>
      </c>
      <c r="R274" s="17" t="str">
        <f>IF(M274=1,COUNTIFS($Q$2:Q274,Q274,$M$2:M274,1),"")</f>
        <v/>
      </c>
      <c r="S274" s="50" t="str">
        <f t="shared" si="19"/>
        <v/>
      </c>
    </row>
    <row r="275" spans="1:19" ht="45" customHeight="1" x14ac:dyDescent="0.35">
      <c r="A275" s="66">
        <v>46283</v>
      </c>
      <c r="B275" s="67" t="s">
        <v>122</v>
      </c>
      <c r="C275" s="67" t="s">
        <v>123</v>
      </c>
      <c r="D275" s="67" t="s">
        <v>124</v>
      </c>
      <c r="E275" s="67" t="s">
        <v>84</v>
      </c>
      <c r="F275" s="67" t="s">
        <v>179</v>
      </c>
      <c r="G275" s="67" t="s">
        <v>109</v>
      </c>
      <c r="H275" s="67" t="s">
        <v>87</v>
      </c>
      <c r="I275" s="67" t="s">
        <v>50</v>
      </c>
      <c r="J275" s="67" t="s">
        <v>88</v>
      </c>
      <c r="K275" s="67" t="s">
        <v>125</v>
      </c>
      <c r="L275" s="68" t="s">
        <v>118</v>
      </c>
      <c r="M275" s="68">
        <f>--AND(Configuración!$B$6&lt;&gt;"",OR(E275="Todas",ISNUMBER(SEARCH(Configuración!$B$7,E275))),IF(L275="Monotributo",Configuración!$B$10="Sí",IF(L275="Autónomos",Configuración!$B$11="Sí",IF(L275="Responsable inscripto",Configuración!$B$12="Sí",IF(L275="Empleador",Configuración!$B$13="Sí",IF(L275="Casas particulares",Configuración!$B$14="Sí",IF(L275="Retenciones",Configuración!$B$15="Sí",IF(L275="Sociedad",Configuración!$B$16="Sí",IF(L275="Persona humana",Configuración!$B$17="Sí",IF(L275="Convenio Multilateral",Configuración!$B$18="Sí",FALSE()))))))))))</f>
        <v>0</v>
      </c>
      <c r="N275" s="68" t="str">
        <f>IF(M275=1,COUNTIF($M$2:M275,1),"")</f>
        <v/>
      </c>
      <c r="O275" s="50">
        <f t="shared" ca="1" si="16"/>
        <v>30</v>
      </c>
      <c r="P275" s="17" t="str">
        <f t="shared" ca="1" si="17"/>
        <v>Faltan 30 días</v>
      </c>
      <c r="Q275" s="50">
        <f t="shared" si="18"/>
        <v>46283</v>
      </c>
      <c r="R275" s="17" t="str">
        <f>IF(M275=1,COUNTIFS($Q$2:Q275,Q275,$M$2:M275,1),"")</f>
        <v/>
      </c>
      <c r="S275" s="50" t="str">
        <f t="shared" si="19"/>
        <v/>
      </c>
    </row>
    <row r="276" spans="1:19" ht="45" customHeight="1" x14ac:dyDescent="0.35">
      <c r="A276" s="66">
        <v>46283.625</v>
      </c>
      <c r="B276" s="67" t="s">
        <v>137</v>
      </c>
      <c r="C276" s="67" t="s">
        <v>138</v>
      </c>
      <c r="D276" s="67" t="s">
        <v>139</v>
      </c>
      <c r="E276" s="67" t="s">
        <v>147</v>
      </c>
      <c r="F276" s="67" t="s">
        <v>182</v>
      </c>
      <c r="G276" s="67" t="s">
        <v>94</v>
      </c>
      <c r="H276" s="67" t="s">
        <v>142</v>
      </c>
      <c r="I276" s="67" t="s">
        <v>50</v>
      </c>
      <c r="J276" s="67" t="s">
        <v>150</v>
      </c>
      <c r="K276" s="67" t="s">
        <v>151</v>
      </c>
      <c r="L276" s="68" t="s">
        <v>33</v>
      </c>
      <c r="M276" s="68">
        <f>--AND(Configuración!$B$6&lt;&gt;"",OR(E276="Todas",ISNUMBER(SEARCH(Configuración!$B$7,E276))),IF(L276="Monotributo",Configuración!$B$10="Sí",IF(L276="Autónomos",Configuración!$B$11="Sí",IF(L276="Responsable inscripto",Configuración!$B$12="Sí",IF(L276="Empleador",Configuración!$B$13="Sí",IF(L276="Casas particulares",Configuración!$B$14="Sí",IF(L276="Retenciones",Configuración!$B$15="Sí",IF(L276="Sociedad",Configuración!$B$16="Sí",IF(L276="Persona humana",Configuración!$B$17="Sí",IF(L276="Convenio Multilateral",Configuración!$B$18="Sí",FALSE()))))))))))</f>
        <v>0</v>
      </c>
      <c r="N276" s="68" t="str">
        <f>IF(M276=1,COUNTIF($M$2:M276,1),"")</f>
        <v/>
      </c>
      <c r="O276" s="50">
        <f t="shared" ca="1" si="16"/>
        <v>30</v>
      </c>
      <c r="P276" s="17" t="str">
        <f t="shared" ca="1" si="17"/>
        <v>Faltan 30 días</v>
      </c>
      <c r="Q276" s="50">
        <f t="shared" si="18"/>
        <v>46283</v>
      </c>
      <c r="R276" s="17" t="str">
        <f>IF(M276=1,COUNTIFS($Q$2:Q276,Q276,$M$2:M276,1),"")</f>
        <v/>
      </c>
      <c r="S276" s="50" t="str">
        <f t="shared" si="19"/>
        <v/>
      </c>
    </row>
    <row r="277" spans="1:19" ht="45" customHeight="1" x14ac:dyDescent="0.35">
      <c r="A277" s="66">
        <v>46286</v>
      </c>
      <c r="B277" s="67" t="s">
        <v>115</v>
      </c>
      <c r="C277" s="67" t="s">
        <v>116</v>
      </c>
      <c r="D277" s="67" t="s">
        <v>117</v>
      </c>
      <c r="E277" s="67" t="s">
        <v>89</v>
      </c>
      <c r="F277" s="67" t="s">
        <v>179</v>
      </c>
      <c r="G277" s="67" t="s">
        <v>94</v>
      </c>
      <c r="H277" s="67" t="s">
        <v>87</v>
      </c>
      <c r="I277" s="67" t="s">
        <v>50</v>
      </c>
      <c r="J277" s="67" t="s">
        <v>88</v>
      </c>
      <c r="K277" s="67"/>
      <c r="L277" s="68" t="s">
        <v>118</v>
      </c>
      <c r="M277" s="68">
        <f>--AND(Configuración!$B$6&lt;&gt;"",OR(E277="Todas",ISNUMBER(SEARCH(Configuración!$B$7,E277))),IF(L277="Monotributo",Configuración!$B$10="Sí",IF(L277="Autónomos",Configuración!$B$11="Sí",IF(L277="Responsable inscripto",Configuración!$B$12="Sí",IF(L277="Empleador",Configuración!$B$13="Sí",IF(L277="Casas particulares",Configuración!$B$14="Sí",IF(L277="Retenciones",Configuración!$B$15="Sí",IF(L277="Sociedad",Configuración!$B$16="Sí",IF(L277="Persona humana",Configuración!$B$17="Sí",IF(L277="Convenio Multilateral",Configuración!$B$18="Sí",FALSE()))))))))))</f>
        <v>0</v>
      </c>
      <c r="N277" s="68" t="str">
        <f>IF(M277=1,COUNTIF($M$2:M277,1),"")</f>
        <v/>
      </c>
      <c r="O277" s="50">
        <f t="shared" ca="1" si="16"/>
        <v>33</v>
      </c>
      <c r="P277" s="17" t="str">
        <f t="shared" ca="1" si="17"/>
        <v>Faltan 33 días</v>
      </c>
      <c r="Q277" s="50">
        <f t="shared" si="18"/>
        <v>46286</v>
      </c>
      <c r="R277" s="17" t="str">
        <f>IF(M277=1,COUNTIFS($Q$2:Q277,Q277,$M$2:M277,1),"")</f>
        <v/>
      </c>
      <c r="S277" s="50" t="str">
        <f t="shared" si="19"/>
        <v/>
      </c>
    </row>
    <row r="278" spans="1:19" ht="45" customHeight="1" x14ac:dyDescent="0.35">
      <c r="A278" s="66">
        <v>46286</v>
      </c>
      <c r="B278" s="67" t="s">
        <v>115</v>
      </c>
      <c r="C278" s="67" t="s">
        <v>116</v>
      </c>
      <c r="D278" s="67" t="s">
        <v>117</v>
      </c>
      <c r="E278" s="67" t="s">
        <v>90</v>
      </c>
      <c r="F278" s="67" t="s">
        <v>179</v>
      </c>
      <c r="G278" s="67" t="s">
        <v>94</v>
      </c>
      <c r="H278" s="67" t="s">
        <v>87</v>
      </c>
      <c r="I278" s="67" t="s">
        <v>50</v>
      </c>
      <c r="J278" s="67" t="s">
        <v>88</v>
      </c>
      <c r="K278" s="67"/>
      <c r="L278" s="68" t="s">
        <v>118</v>
      </c>
      <c r="M278" s="68">
        <f>--AND(Configuración!$B$6&lt;&gt;"",OR(E278="Todas",ISNUMBER(SEARCH(Configuración!$B$7,E278))),IF(L278="Monotributo",Configuración!$B$10="Sí",IF(L278="Autónomos",Configuración!$B$11="Sí",IF(L278="Responsable inscripto",Configuración!$B$12="Sí",IF(L278="Empleador",Configuración!$B$13="Sí",IF(L278="Casas particulares",Configuración!$B$14="Sí",IF(L278="Retenciones",Configuración!$B$15="Sí",IF(L278="Sociedad",Configuración!$B$16="Sí",IF(L278="Persona humana",Configuración!$B$17="Sí",IF(L278="Convenio Multilateral",Configuración!$B$18="Sí",FALSE()))))))))))</f>
        <v>0</v>
      </c>
      <c r="N278" s="68" t="str">
        <f>IF(M278=1,COUNTIF($M$2:M278,1),"")</f>
        <v/>
      </c>
      <c r="O278" s="50">
        <f t="shared" ca="1" si="16"/>
        <v>33</v>
      </c>
      <c r="P278" s="17" t="str">
        <f t="shared" ca="1" si="17"/>
        <v>Faltan 33 días</v>
      </c>
      <c r="Q278" s="50">
        <f t="shared" si="18"/>
        <v>46286</v>
      </c>
      <c r="R278" s="17" t="str">
        <f>IF(M278=1,COUNTIFS($Q$2:Q278,Q278,$M$2:M278,1),"")</f>
        <v/>
      </c>
      <c r="S278" s="50" t="str">
        <f t="shared" si="19"/>
        <v/>
      </c>
    </row>
    <row r="279" spans="1:19" ht="45" customHeight="1" x14ac:dyDescent="0.35">
      <c r="A279" s="66">
        <v>46286</v>
      </c>
      <c r="B279" s="67" t="s">
        <v>119</v>
      </c>
      <c r="C279" s="67" t="s">
        <v>120</v>
      </c>
      <c r="D279" s="67" t="s">
        <v>121</v>
      </c>
      <c r="E279" s="67" t="s">
        <v>89</v>
      </c>
      <c r="F279" s="67" t="s">
        <v>179</v>
      </c>
      <c r="G279" s="67" t="s">
        <v>94</v>
      </c>
      <c r="H279" s="67" t="s">
        <v>87</v>
      </c>
      <c r="I279" s="67" t="s">
        <v>50</v>
      </c>
      <c r="J279" s="67" t="s">
        <v>88</v>
      </c>
      <c r="K279" s="67"/>
      <c r="L279" s="68" t="s">
        <v>118</v>
      </c>
      <c r="M279" s="68">
        <f>--AND(Configuración!$B$6&lt;&gt;"",OR(E279="Todas",ISNUMBER(SEARCH(Configuración!$B$7,E279))),IF(L279="Monotributo",Configuración!$B$10="Sí",IF(L279="Autónomos",Configuración!$B$11="Sí",IF(L279="Responsable inscripto",Configuración!$B$12="Sí",IF(L279="Empleador",Configuración!$B$13="Sí",IF(L279="Casas particulares",Configuración!$B$14="Sí",IF(L279="Retenciones",Configuración!$B$15="Sí",IF(L279="Sociedad",Configuración!$B$16="Sí",IF(L279="Persona humana",Configuración!$B$17="Sí",IF(L279="Convenio Multilateral",Configuración!$B$18="Sí",FALSE()))))))))))</f>
        <v>0</v>
      </c>
      <c r="N279" s="68" t="str">
        <f>IF(M279=1,COUNTIF($M$2:M279,1),"")</f>
        <v/>
      </c>
      <c r="O279" s="50">
        <f t="shared" ca="1" si="16"/>
        <v>33</v>
      </c>
      <c r="P279" s="17" t="str">
        <f t="shared" ca="1" si="17"/>
        <v>Faltan 33 días</v>
      </c>
      <c r="Q279" s="50">
        <f t="shared" si="18"/>
        <v>46286</v>
      </c>
      <c r="R279" s="17" t="str">
        <f>IF(M279=1,COUNTIFS($Q$2:Q279,Q279,$M$2:M279,1),"")</f>
        <v/>
      </c>
      <c r="S279" s="50" t="str">
        <f t="shared" si="19"/>
        <v/>
      </c>
    </row>
    <row r="280" spans="1:19" ht="45" customHeight="1" x14ac:dyDescent="0.35">
      <c r="A280" s="66">
        <v>46286</v>
      </c>
      <c r="B280" s="67" t="s">
        <v>119</v>
      </c>
      <c r="C280" s="67" t="s">
        <v>120</v>
      </c>
      <c r="D280" s="67" t="s">
        <v>121</v>
      </c>
      <c r="E280" s="67" t="s">
        <v>90</v>
      </c>
      <c r="F280" s="67" t="s">
        <v>179</v>
      </c>
      <c r="G280" s="67" t="s">
        <v>94</v>
      </c>
      <c r="H280" s="67" t="s">
        <v>87</v>
      </c>
      <c r="I280" s="67" t="s">
        <v>50</v>
      </c>
      <c r="J280" s="67" t="s">
        <v>88</v>
      </c>
      <c r="K280" s="67"/>
      <c r="L280" s="68" t="s">
        <v>118</v>
      </c>
      <c r="M280" s="68">
        <f>--AND(Configuración!$B$6&lt;&gt;"",OR(E280="Todas",ISNUMBER(SEARCH(Configuración!$B$7,E280))),IF(L280="Monotributo",Configuración!$B$10="Sí",IF(L280="Autónomos",Configuración!$B$11="Sí",IF(L280="Responsable inscripto",Configuración!$B$12="Sí",IF(L280="Empleador",Configuración!$B$13="Sí",IF(L280="Casas particulares",Configuración!$B$14="Sí",IF(L280="Retenciones",Configuración!$B$15="Sí",IF(L280="Sociedad",Configuración!$B$16="Sí",IF(L280="Persona humana",Configuración!$B$17="Sí",IF(L280="Convenio Multilateral",Configuración!$B$18="Sí",FALSE()))))))))))</f>
        <v>0</v>
      </c>
      <c r="N280" s="68" t="str">
        <f>IF(M280=1,COUNTIF($M$2:M280,1),"")</f>
        <v/>
      </c>
      <c r="O280" s="50">
        <f t="shared" ca="1" si="16"/>
        <v>33</v>
      </c>
      <c r="P280" s="17" t="str">
        <f t="shared" ca="1" si="17"/>
        <v>Faltan 33 días</v>
      </c>
      <c r="Q280" s="50">
        <f t="shared" si="18"/>
        <v>46286</v>
      </c>
      <c r="R280" s="17" t="str">
        <f>IF(M280=1,COUNTIFS($Q$2:Q280,Q280,$M$2:M280,1),"")</f>
        <v/>
      </c>
      <c r="S280" s="50" t="str">
        <f t="shared" si="19"/>
        <v/>
      </c>
    </row>
    <row r="281" spans="1:19" ht="45" customHeight="1" x14ac:dyDescent="0.35">
      <c r="A281" s="66">
        <v>46286</v>
      </c>
      <c r="B281" s="67" t="s">
        <v>122</v>
      </c>
      <c r="C281" s="67" t="s">
        <v>123</v>
      </c>
      <c r="D281" s="67" t="s">
        <v>124</v>
      </c>
      <c r="E281" s="67" t="s">
        <v>89</v>
      </c>
      <c r="F281" s="67" t="s">
        <v>179</v>
      </c>
      <c r="G281" s="67" t="s">
        <v>109</v>
      </c>
      <c r="H281" s="67" t="s">
        <v>87</v>
      </c>
      <c r="I281" s="67" t="s">
        <v>50</v>
      </c>
      <c r="J281" s="67" t="s">
        <v>88</v>
      </c>
      <c r="K281" s="67" t="s">
        <v>125</v>
      </c>
      <c r="L281" s="68" t="s">
        <v>118</v>
      </c>
      <c r="M281" s="68">
        <f>--AND(Configuración!$B$6&lt;&gt;"",OR(E281="Todas",ISNUMBER(SEARCH(Configuración!$B$7,E281))),IF(L281="Monotributo",Configuración!$B$10="Sí",IF(L281="Autónomos",Configuración!$B$11="Sí",IF(L281="Responsable inscripto",Configuración!$B$12="Sí",IF(L281="Empleador",Configuración!$B$13="Sí",IF(L281="Casas particulares",Configuración!$B$14="Sí",IF(L281="Retenciones",Configuración!$B$15="Sí",IF(L281="Sociedad",Configuración!$B$16="Sí",IF(L281="Persona humana",Configuración!$B$17="Sí",IF(L281="Convenio Multilateral",Configuración!$B$18="Sí",FALSE()))))))))))</f>
        <v>0</v>
      </c>
      <c r="N281" s="68" t="str">
        <f>IF(M281=1,COUNTIF($M$2:M281,1),"")</f>
        <v/>
      </c>
      <c r="O281" s="50">
        <f t="shared" ca="1" si="16"/>
        <v>33</v>
      </c>
      <c r="P281" s="17" t="str">
        <f t="shared" ca="1" si="17"/>
        <v>Faltan 33 días</v>
      </c>
      <c r="Q281" s="50">
        <f t="shared" si="18"/>
        <v>46286</v>
      </c>
      <c r="R281" s="17" t="str">
        <f>IF(M281=1,COUNTIFS($Q$2:Q281,Q281,$M$2:M281,1),"")</f>
        <v/>
      </c>
      <c r="S281" s="50" t="str">
        <f t="shared" si="19"/>
        <v/>
      </c>
    </row>
    <row r="282" spans="1:19" ht="45" customHeight="1" x14ac:dyDescent="0.35">
      <c r="A282" s="66">
        <v>46286</v>
      </c>
      <c r="B282" s="67" t="s">
        <v>122</v>
      </c>
      <c r="C282" s="67" t="s">
        <v>123</v>
      </c>
      <c r="D282" s="67" t="s">
        <v>124</v>
      </c>
      <c r="E282" s="67" t="s">
        <v>90</v>
      </c>
      <c r="F282" s="67" t="s">
        <v>179</v>
      </c>
      <c r="G282" s="67" t="s">
        <v>109</v>
      </c>
      <c r="H282" s="67" t="s">
        <v>87</v>
      </c>
      <c r="I282" s="67" t="s">
        <v>50</v>
      </c>
      <c r="J282" s="67" t="s">
        <v>88</v>
      </c>
      <c r="K282" s="67" t="s">
        <v>125</v>
      </c>
      <c r="L282" s="68" t="s">
        <v>118</v>
      </c>
      <c r="M282" s="68">
        <f>--AND(Configuración!$B$6&lt;&gt;"",OR(E282="Todas",ISNUMBER(SEARCH(Configuración!$B$7,E282))),IF(L282="Monotributo",Configuración!$B$10="Sí",IF(L282="Autónomos",Configuración!$B$11="Sí",IF(L282="Responsable inscripto",Configuración!$B$12="Sí",IF(L282="Empleador",Configuración!$B$13="Sí",IF(L282="Casas particulares",Configuración!$B$14="Sí",IF(L282="Retenciones",Configuración!$B$15="Sí",IF(L282="Sociedad",Configuración!$B$16="Sí",IF(L282="Persona humana",Configuración!$B$17="Sí",IF(L282="Convenio Multilateral",Configuración!$B$18="Sí",FALSE()))))))))))</f>
        <v>0</v>
      </c>
      <c r="N282" s="68" t="str">
        <f>IF(M282=1,COUNTIF($M$2:M282,1),"")</f>
        <v/>
      </c>
      <c r="O282" s="50">
        <f t="shared" ca="1" si="16"/>
        <v>33</v>
      </c>
      <c r="P282" s="17" t="str">
        <f t="shared" ca="1" si="17"/>
        <v>Faltan 33 días</v>
      </c>
      <c r="Q282" s="50">
        <f t="shared" si="18"/>
        <v>46286</v>
      </c>
      <c r="R282" s="17" t="str">
        <f>IF(M282=1,COUNTIFS($Q$2:Q282,Q282,$M$2:M282,1),"")</f>
        <v/>
      </c>
      <c r="S282" s="50" t="str">
        <f t="shared" si="19"/>
        <v/>
      </c>
    </row>
    <row r="283" spans="1:19" ht="30" customHeight="1" x14ac:dyDescent="0.35">
      <c r="A283" s="66">
        <v>46286</v>
      </c>
      <c r="B283" s="67" t="s">
        <v>24</v>
      </c>
      <c r="C283" s="67" t="s">
        <v>126</v>
      </c>
      <c r="D283" s="67" t="s">
        <v>127</v>
      </c>
      <c r="E283" s="67" t="s">
        <v>104</v>
      </c>
      <c r="F283" s="67" t="s">
        <v>183</v>
      </c>
      <c r="G283" s="67" t="s">
        <v>86</v>
      </c>
      <c r="H283" s="67" t="s">
        <v>87</v>
      </c>
      <c r="I283" s="67" t="s">
        <v>50</v>
      </c>
      <c r="J283" s="67" t="s">
        <v>129</v>
      </c>
      <c r="K283" s="67" t="s">
        <v>130</v>
      </c>
      <c r="L283" s="68" t="s">
        <v>24</v>
      </c>
      <c r="M283" s="68">
        <f>--AND(Configuración!$B$6&lt;&gt;"",OR(E283="Todas",ISNUMBER(SEARCH(Configuración!$B$7,E283))),IF(L283="Monotributo",Configuración!$B$10="Sí",IF(L283="Autónomos",Configuración!$B$11="Sí",IF(L283="Responsable inscripto",Configuración!$B$12="Sí",IF(L283="Empleador",Configuración!$B$13="Sí",IF(L283="Casas particulares",Configuración!$B$14="Sí",IF(L283="Retenciones",Configuración!$B$15="Sí",IF(L283="Sociedad",Configuración!$B$16="Sí",IF(L283="Persona humana",Configuración!$B$17="Sí",IF(L283="Convenio Multilateral",Configuración!$B$18="Sí",FALSE()))))))))))</f>
        <v>0</v>
      </c>
      <c r="N283" s="68" t="str">
        <f>IF(M283=1,COUNTIF($M$2:M283,1),"")</f>
        <v/>
      </c>
      <c r="O283" s="50">
        <f t="shared" ca="1" si="16"/>
        <v>33</v>
      </c>
      <c r="P283" s="17" t="str">
        <f t="shared" ca="1" si="17"/>
        <v>Faltan 33 días</v>
      </c>
      <c r="Q283" s="50">
        <f t="shared" si="18"/>
        <v>46286</v>
      </c>
      <c r="R283" s="17" t="str">
        <f>IF(M283=1,COUNTIFS($Q$2:Q283,Q283,$M$2:M283,1),"")</f>
        <v/>
      </c>
      <c r="S283" s="50" t="str">
        <f t="shared" si="19"/>
        <v/>
      </c>
    </row>
    <row r="284" spans="1:19" ht="45" customHeight="1" x14ac:dyDescent="0.35">
      <c r="A284" s="66">
        <v>46300</v>
      </c>
      <c r="B284" s="67" t="s">
        <v>26</v>
      </c>
      <c r="C284" s="67" t="s">
        <v>82</v>
      </c>
      <c r="D284" s="67" t="s">
        <v>83</v>
      </c>
      <c r="E284" s="67" t="s">
        <v>84</v>
      </c>
      <c r="F284" s="67" t="s">
        <v>183</v>
      </c>
      <c r="G284" s="67" t="s">
        <v>86</v>
      </c>
      <c r="H284" s="67" t="s">
        <v>87</v>
      </c>
      <c r="I284" s="67" t="s">
        <v>50</v>
      </c>
      <c r="J284" s="67" t="s">
        <v>88</v>
      </c>
      <c r="K284" s="67"/>
      <c r="L284" s="68" t="s">
        <v>26</v>
      </c>
      <c r="M284" s="68">
        <f>--AND(Configuración!$B$6&lt;&gt;"",OR(E284="Todas",ISNUMBER(SEARCH(Configuración!$B$7,E284))),IF(L284="Monotributo",Configuración!$B$10="Sí",IF(L284="Autónomos",Configuración!$B$11="Sí",IF(L284="Responsable inscripto",Configuración!$B$12="Sí",IF(L284="Empleador",Configuración!$B$13="Sí",IF(L284="Casas particulares",Configuración!$B$14="Sí",IF(L284="Retenciones",Configuración!$B$15="Sí",IF(L284="Sociedad",Configuración!$B$16="Sí",IF(L284="Persona humana",Configuración!$B$17="Sí",IF(L284="Convenio Multilateral",Configuración!$B$18="Sí",FALSE()))))))))))</f>
        <v>0</v>
      </c>
      <c r="N284" s="68" t="str">
        <f>IF(M284=1,COUNTIF($M$2:M284,1),"")</f>
        <v/>
      </c>
      <c r="O284" s="50">
        <f t="shared" ca="1" si="16"/>
        <v>47</v>
      </c>
      <c r="P284" s="17" t="str">
        <f t="shared" ca="1" si="17"/>
        <v>Faltan 47 días</v>
      </c>
      <c r="Q284" s="50">
        <f t="shared" si="18"/>
        <v>46300</v>
      </c>
      <c r="R284" s="17" t="str">
        <f>IF(M284=1,COUNTIFS($Q$2:Q284,Q284,$M$2:M284,1),"")</f>
        <v/>
      </c>
      <c r="S284" s="50" t="str">
        <f t="shared" si="19"/>
        <v/>
      </c>
    </row>
    <row r="285" spans="1:19" ht="45" customHeight="1" x14ac:dyDescent="0.35">
      <c r="A285" s="66">
        <v>46300</v>
      </c>
      <c r="B285" s="67" t="s">
        <v>26</v>
      </c>
      <c r="C285" s="67" t="s">
        <v>82</v>
      </c>
      <c r="D285" s="67" t="s">
        <v>83</v>
      </c>
      <c r="E285" s="67" t="s">
        <v>89</v>
      </c>
      <c r="F285" s="67" t="s">
        <v>183</v>
      </c>
      <c r="G285" s="67" t="s">
        <v>86</v>
      </c>
      <c r="H285" s="67" t="s">
        <v>87</v>
      </c>
      <c r="I285" s="67" t="s">
        <v>50</v>
      </c>
      <c r="J285" s="67" t="s">
        <v>88</v>
      </c>
      <c r="K285" s="67"/>
      <c r="L285" s="68" t="s">
        <v>26</v>
      </c>
      <c r="M285" s="68">
        <f>--AND(Configuración!$B$6&lt;&gt;"",OR(E285="Todas",ISNUMBER(SEARCH(Configuración!$B$7,E285))),IF(L285="Monotributo",Configuración!$B$10="Sí",IF(L285="Autónomos",Configuración!$B$11="Sí",IF(L285="Responsable inscripto",Configuración!$B$12="Sí",IF(L285="Empleador",Configuración!$B$13="Sí",IF(L285="Casas particulares",Configuración!$B$14="Sí",IF(L285="Retenciones",Configuración!$B$15="Sí",IF(L285="Sociedad",Configuración!$B$16="Sí",IF(L285="Persona humana",Configuración!$B$17="Sí",IF(L285="Convenio Multilateral",Configuración!$B$18="Sí",FALSE()))))))))))</f>
        <v>0</v>
      </c>
      <c r="N285" s="68" t="str">
        <f>IF(M285=1,COUNTIF($M$2:M285,1),"")</f>
        <v/>
      </c>
      <c r="O285" s="50">
        <f t="shared" ca="1" si="16"/>
        <v>47</v>
      </c>
      <c r="P285" s="17" t="str">
        <f t="shared" ca="1" si="17"/>
        <v>Faltan 47 días</v>
      </c>
      <c r="Q285" s="50">
        <f t="shared" si="18"/>
        <v>46300</v>
      </c>
      <c r="R285" s="17" t="str">
        <f>IF(M285=1,COUNTIFS($Q$2:Q285,Q285,$M$2:M285,1),"")</f>
        <v/>
      </c>
      <c r="S285" s="50" t="str">
        <f t="shared" si="19"/>
        <v/>
      </c>
    </row>
    <row r="286" spans="1:19" ht="45" customHeight="1" x14ac:dyDescent="0.35">
      <c r="A286" s="66">
        <v>46300</v>
      </c>
      <c r="B286" s="67" t="s">
        <v>26</v>
      </c>
      <c r="C286" s="67" t="s">
        <v>82</v>
      </c>
      <c r="D286" s="67" t="s">
        <v>83</v>
      </c>
      <c r="E286" s="67" t="s">
        <v>90</v>
      </c>
      <c r="F286" s="67" t="s">
        <v>183</v>
      </c>
      <c r="G286" s="67" t="s">
        <v>86</v>
      </c>
      <c r="H286" s="67" t="s">
        <v>87</v>
      </c>
      <c r="I286" s="67" t="s">
        <v>50</v>
      </c>
      <c r="J286" s="67" t="s">
        <v>88</v>
      </c>
      <c r="K286" s="67"/>
      <c r="L286" s="68" t="s">
        <v>26</v>
      </c>
      <c r="M286" s="68">
        <f>--AND(Configuración!$B$6&lt;&gt;"",OR(E286="Todas",ISNUMBER(SEARCH(Configuración!$B$7,E286))),IF(L286="Monotributo",Configuración!$B$10="Sí",IF(L286="Autónomos",Configuración!$B$11="Sí",IF(L286="Responsable inscripto",Configuración!$B$12="Sí",IF(L286="Empleador",Configuración!$B$13="Sí",IF(L286="Casas particulares",Configuración!$B$14="Sí",IF(L286="Retenciones",Configuración!$B$15="Sí",IF(L286="Sociedad",Configuración!$B$16="Sí",IF(L286="Persona humana",Configuración!$B$17="Sí",IF(L286="Convenio Multilateral",Configuración!$B$18="Sí",FALSE()))))))))))</f>
        <v>0</v>
      </c>
      <c r="N286" s="68" t="str">
        <f>IF(M286=1,COUNTIF($M$2:M286,1),"")</f>
        <v/>
      </c>
      <c r="O286" s="50">
        <f t="shared" ca="1" si="16"/>
        <v>47</v>
      </c>
      <c r="P286" s="17" t="str">
        <f t="shared" ca="1" si="17"/>
        <v>Faltan 47 días</v>
      </c>
      <c r="Q286" s="50">
        <f t="shared" si="18"/>
        <v>46300</v>
      </c>
      <c r="R286" s="17" t="str">
        <f>IF(M286=1,COUNTIFS($Q$2:Q286,Q286,$M$2:M286,1),"")</f>
        <v/>
      </c>
      <c r="S286" s="50" t="str">
        <f t="shared" si="19"/>
        <v/>
      </c>
    </row>
    <row r="287" spans="1:19" ht="45" customHeight="1" x14ac:dyDescent="0.35">
      <c r="A287" s="66">
        <v>46300</v>
      </c>
      <c r="B287" s="67" t="s">
        <v>91</v>
      </c>
      <c r="C287" s="67" t="s">
        <v>92</v>
      </c>
      <c r="D287" s="67" t="s">
        <v>93</v>
      </c>
      <c r="E287" s="67" t="s">
        <v>84</v>
      </c>
      <c r="F287" s="67" t="s">
        <v>183</v>
      </c>
      <c r="G287" s="67" t="s">
        <v>94</v>
      </c>
      <c r="H287" s="67" t="s">
        <v>87</v>
      </c>
      <c r="I287" s="67" t="s">
        <v>50</v>
      </c>
      <c r="J287" s="67" t="s">
        <v>88</v>
      </c>
      <c r="K287" s="67"/>
      <c r="L287" s="68" t="s">
        <v>95</v>
      </c>
      <c r="M287" s="68">
        <f>--AND(Configuración!$B$6&lt;&gt;"",OR(E287="Todas",ISNUMBER(SEARCH(Configuración!$B$7,E287))),IF(L287="Monotributo",Configuración!$B$10="Sí",IF(L287="Autónomos",Configuración!$B$11="Sí",IF(L287="Responsable inscripto",Configuración!$B$12="Sí",IF(L287="Empleador",Configuración!$B$13="Sí",IF(L287="Casas particulares",Configuración!$B$14="Sí",IF(L287="Retenciones",Configuración!$B$15="Sí",IF(L287="Sociedad",Configuración!$B$16="Sí",IF(L287="Persona humana",Configuración!$B$17="Sí",IF(L287="Convenio Multilateral",Configuración!$B$18="Sí",FALSE()))))))))))</f>
        <v>0</v>
      </c>
      <c r="N287" s="68" t="str">
        <f>IF(M287=1,COUNTIF($M$2:M287,1),"")</f>
        <v/>
      </c>
      <c r="O287" s="50">
        <f t="shared" ca="1" si="16"/>
        <v>47</v>
      </c>
      <c r="P287" s="17" t="str">
        <f t="shared" ca="1" si="17"/>
        <v>Faltan 47 días</v>
      </c>
      <c r="Q287" s="50">
        <f t="shared" si="18"/>
        <v>46300</v>
      </c>
      <c r="R287" s="17" t="str">
        <f>IF(M287=1,COUNTIFS($Q$2:Q287,Q287,$M$2:M287,1),"")</f>
        <v/>
      </c>
      <c r="S287" s="50" t="str">
        <f t="shared" si="19"/>
        <v/>
      </c>
    </row>
    <row r="288" spans="1:19" ht="45" customHeight="1" x14ac:dyDescent="0.35">
      <c r="A288" s="66">
        <v>46300</v>
      </c>
      <c r="B288" s="67" t="s">
        <v>91</v>
      </c>
      <c r="C288" s="67" t="s">
        <v>92</v>
      </c>
      <c r="D288" s="67" t="s">
        <v>93</v>
      </c>
      <c r="E288" s="67" t="s">
        <v>89</v>
      </c>
      <c r="F288" s="67" t="s">
        <v>183</v>
      </c>
      <c r="G288" s="67" t="s">
        <v>94</v>
      </c>
      <c r="H288" s="67" t="s">
        <v>87</v>
      </c>
      <c r="I288" s="67" t="s">
        <v>50</v>
      </c>
      <c r="J288" s="67" t="s">
        <v>88</v>
      </c>
      <c r="K288" s="67"/>
      <c r="L288" s="68" t="s">
        <v>95</v>
      </c>
      <c r="M288" s="68">
        <f>--AND(Configuración!$B$6&lt;&gt;"",OR(E288="Todas",ISNUMBER(SEARCH(Configuración!$B$7,E288))),IF(L288="Monotributo",Configuración!$B$10="Sí",IF(L288="Autónomos",Configuración!$B$11="Sí",IF(L288="Responsable inscripto",Configuración!$B$12="Sí",IF(L288="Empleador",Configuración!$B$13="Sí",IF(L288="Casas particulares",Configuración!$B$14="Sí",IF(L288="Retenciones",Configuración!$B$15="Sí",IF(L288="Sociedad",Configuración!$B$16="Sí",IF(L288="Persona humana",Configuración!$B$17="Sí",IF(L288="Convenio Multilateral",Configuración!$B$18="Sí",FALSE()))))))))))</f>
        <v>0</v>
      </c>
      <c r="N288" s="68" t="str">
        <f>IF(M288=1,COUNTIF($M$2:M288,1),"")</f>
        <v/>
      </c>
      <c r="O288" s="50">
        <f t="shared" ca="1" si="16"/>
        <v>47</v>
      </c>
      <c r="P288" s="17" t="str">
        <f t="shared" ca="1" si="17"/>
        <v>Faltan 47 días</v>
      </c>
      <c r="Q288" s="50">
        <f t="shared" si="18"/>
        <v>46300</v>
      </c>
      <c r="R288" s="17" t="str">
        <f>IF(M288=1,COUNTIFS($Q$2:Q288,Q288,$M$2:M288,1),"")</f>
        <v/>
      </c>
      <c r="S288" s="50" t="str">
        <f t="shared" si="19"/>
        <v/>
      </c>
    </row>
    <row r="289" spans="1:19" ht="45" customHeight="1" x14ac:dyDescent="0.35">
      <c r="A289" s="66">
        <v>46301</v>
      </c>
      <c r="B289" s="67" t="s">
        <v>91</v>
      </c>
      <c r="C289" s="67" t="s">
        <v>92</v>
      </c>
      <c r="D289" s="67" t="s">
        <v>93</v>
      </c>
      <c r="E289" s="67" t="s">
        <v>90</v>
      </c>
      <c r="F289" s="67" t="s">
        <v>183</v>
      </c>
      <c r="G289" s="67" t="s">
        <v>94</v>
      </c>
      <c r="H289" s="67" t="s">
        <v>87</v>
      </c>
      <c r="I289" s="67" t="s">
        <v>50</v>
      </c>
      <c r="J289" s="67" t="s">
        <v>88</v>
      </c>
      <c r="K289" s="67"/>
      <c r="L289" s="68" t="s">
        <v>95</v>
      </c>
      <c r="M289" s="68">
        <f>--AND(Configuración!$B$6&lt;&gt;"",OR(E289="Todas",ISNUMBER(SEARCH(Configuración!$B$7,E289))),IF(L289="Monotributo",Configuración!$B$10="Sí",IF(L289="Autónomos",Configuración!$B$11="Sí",IF(L289="Responsable inscripto",Configuración!$B$12="Sí",IF(L289="Empleador",Configuración!$B$13="Sí",IF(L289="Casas particulares",Configuración!$B$14="Sí",IF(L289="Retenciones",Configuración!$B$15="Sí",IF(L289="Sociedad",Configuración!$B$16="Sí",IF(L289="Persona humana",Configuración!$B$17="Sí",IF(L289="Convenio Multilateral",Configuración!$B$18="Sí",FALSE()))))))))))</f>
        <v>0</v>
      </c>
      <c r="N289" s="68" t="str">
        <f>IF(M289=1,COUNTIF($M$2:M289,1),"")</f>
        <v/>
      </c>
      <c r="O289" s="50">
        <f t="shared" ca="1" si="16"/>
        <v>48</v>
      </c>
      <c r="P289" s="17" t="str">
        <f t="shared" ca="1" si="17"/>
        <v>Faltan 48 días</v>
      </c>
      <c r="Q289" s="50">
        <f t="shared" si="18"/>
        <v>46301</v>
      </c>
      <c r="R289" s="17" t="str">
        <f>IF(M289=1,COUNTIFS($Q$2:Q289,Q289,$M$2:M289,1),"")</f>
        <v/>
      </c>
      <c r="S289" s="50" t="str">
        <f t="shared" si="19"/>
        <v/>
      </c>
    </row>
    <row r="290" spans="1:19" ht="45" customHeight="1" x14ac:dyDescent="0.35">
      <c r="A290" s="66">
        <v>46302</v>
      </c>
      <c r="B290" s="67" t="s">
        <v>96</v>
      </c>
      <c r="C290" s="67" t="s">
        <v>97</v>
      </c>
      <c r="D290" s="67" t="s">
        <v>98</v>
      </c>
      <c r="E290" s="67" t="s">
        <v>84</v>
      </c>
      <c r="F290" s="67" t="s">
        <v>183</v>
      </c>
      <c r="G290" s="67" t="s">
        <v>94</v>
      </c>
      <c r="H290" s="67" t="s">
        <v>87</v>
      </c>
      <c r="I290" s="67" t="s">
        <v>50</v>
      </c>
      <c r="J290" s="67" t="s">
        <v>88</v>
      </c>
      <c r="K290" s="67"/>
      <c r="L290" s="68" t="s">
        <v>99</v>
      </c>
      <c r="M290" s="68">
        <f>--AND(Configuración!$B$6&lt;&gt;"",OR(E290="Todas",ISNUMBER(SEARCH(Configuración!$B$7,E290))),IF(L290="Monotributo",Configuración!$B$10="Sí",IF(L290="Autónomos",Configuración!$B$11="Sí",IF(L290="Responsable inscripto",Configuración!$B$12="Sí",IF(L290="Empleador",Configuración!$B$13="Sí",IF(L290="Casas particulares",Configuración!$B$14="Sí",IF(L290="Retenciones",Configuración!$B$15="Sí",IF(L290="Sociedad",Configuración!$B$16="Sí",IF(L290="Persona humana",Configuración!$B$17="Sí",IF(L290="Convenio Multilateral",Configuración!$B$18="Sí",FALSE()))))))))))</f>
        <v>0</v>
      </c>
      <c r="N290" s="68" t="str">
        <f>IF(M290=1,COUNTIF($M$2:M290,1),"")</f>
        <v/>
      </c>
      <c r="O290" s="50">
        <f t="shared" ca="1" si="16"/>
        <v>49</v>
      </c>
      <c r="P290" s="17" t="str">
        <f t="shared" ca="1" si="17"/>
        <v>Faltan 49 días</v>
      </c>
      <c r="Q290" s="50">
        <f t="shared" si="18"/>
        <v>46302</v>
      </c>
      <c r="R290" s="17" t="str">
        <f>IF(M290=1,COUNTIFS($Q$2:Q290,Q290,$M$2:M290,1),"")</f>
        <v/>
      </c>
      <c r="S290" s="50" t="str">
        <f t="shared" si="19"/>
        <v/>
      </c>
    </row>
    <row r="291" spans="1:19" ht="45" customHeight="1" x14ac:dyDescent="0.35">
      <c r="A291" s="66">
        <v>46303</v>
      </c>
      <c r="B291" s="67" t="s">
        <v>96</v>
      </c>
      <c r="C291" s="67" t="s">
        <v>97</v>
      </c>
      <c r="D291" s="67" t="s">
        <v>98</v>
      </c>
      <c r="E291" s="67" t="s">
        <v>89</v>
      </c>
      <c r="F291" s="67" t="s">
        <v>183</v>
      </c>
      <c r="G291" s="67" t="s">
        <v>94</v>
      </c>
      <c r="H291" s="67" t="s">
        <v>87</v>
      </c>
      <c r="I291" s="67" t="s">
        <v>50</v>
      </c>
      <c r="J291" s="67" t="s">
        <v>88</v>
      </c>
      <c r="K291" s="67"/>
      <c r="L291" s="68" t="s">
        <v>99</v>
      </c>
      <c r="M291" s="68">
        <f>--AND(Configuración!$B$6&lt;&gt;"",OR(E291="Todas",ISNUMBER(SEARCH(Configuración!$B$7,E291))),IF(L291="Monotributo",Configuración!$B$10="Sí",IF(L291="Autónomos",Configuración!$B$11="Sí",IF(L291="Responsable inscripto",Configuración!$B$12="Sí",IF(L291="Empleador",Configuración!$B$13="Sí",IF(L291="Casas particulares",Configuración!$B$14="Sí",IF(L291="Retenciones",Configuración!$B$15="Sí",IF(L291="Sociedad",Configuración!$B$16="Sí",IF(L291="Persona humana",Configuración!$B$17="Sí",IF(L291="Convenio Multilateral",Configuración!$B$18="Sí",FALSE()))))))))))</f>
        <v>0</v>
      </c>
      <c r="N291" s="68" t="str">
        <f>IF(M291=1,COUNTIF($M$2:M291,1),"")</f>
        <v/>
      </c>
      <c r="O291" s="50">
        <f t="shared" ca="1" si="16"/>
        <v>50</v>
      </c>
      <c r="P291" s="17" t="str">
        <f t="shared" ca="1" si="17"/>
        <v>Faltan 50 días</v>
      </c>
      <c r="Q291" s="50">
        <f t="shared" si="18"/>
        <v>46303</v>
      </c>
      <c r="R291" s="17" t="str">
        <f>IF(M291=1,COUNTIFS($Q$2:Q291,Q291,$M$2:M291,1),"")</f>
        <v/>
      </c>
      <c r="S291" s="50" t="str">
        <f t="shared" si="19"/>
        <v/>
      </c>
    </row>
    <row r="292" spans="1:19" ht="45" customHeight="1" x14ac:dyDescent="0.35">
      <c r="A292" s="66">
        <v>46304</v>
      </c>
      <c r="B292" s="67" t="s">
        <v>96</v>
      </c>
      <c r="C292" s="67" t="s">
        <v>97</v>
      </c>
      <c r="D292" s="67" t="s">
        <v>98</v>
      </c>
      <c r="E292" s="67" t="s">
        <v>90</v>
      </c>
      <c r="F292" s="67" t="s">
        <v>183</v>
      </c>
      <c r="G292" s="67" t="s">
        <v>94</v>
      </c>
      <c r="H292" s="67" t="s">
        <v>87</v>
      </c>
      <c r="I292" s="67" t="s">
        <v>50</v>
      </c>
      <c r="J292" s="67" t="s">
        <v>88</v>
      </c>
      <c r="K292" s="67"/>
      <c r="L292" s="68" t="s">
        <v>99</v>
      </c>
      <c r="M292" s="68">
        <f>--AND(Configuración!$B$6&lt;&gt;"",OR(E292="Todas",ISNUMBER(SEARCH(Configuración!$B$7,E292))),IF(L292="Monotributo",Configuración!$B$10="Sí",IF(L292="Autónomos",Configuración!$B$11="Sí",IF(L292="Responsable inscripto",Configuración!$B$12="Sí",IF(L292="Empleador",Configuración!$B$13="Sí",IF(L292="Casas particulares",Configuración!$B$14="Sí",IF(L292="Retenciones",Configuración!$B$15="Sí",IF(L292="Sociedad",Configuración!$B$16="Sí",IF(L292="Persona humana",Configuración!$B$17="Sí",IF(L292="Convenio Multilateral",Configuración!$B$18="Sí",FALSE()))))))))))</f>
        <v>0</v>
      </c>
      <c r="N292" s="68" t="str">
        <f>IF(M292=1,COUNTIF($M$2:M292,1),"")</f>
        <v/>
      </c>
      <c r="O292" s="50">
        <f t="shared" ca="1" si="16"/>
        <v>51</v>
      </c>
      <c r="P292" s="17" t="str">
        <f t="shared" ca="1" si="17"/>
        <v>Faltan 51 días</v>
      </c>
      <c r="Q292" s="50">
        <f t="shared" si="18"/>
        <v>46304</v>
      </c>
      <c r="R292" s="17" t="str">
        <f>IF(M292=1,COUNTIFS($Q$2:Q292,Q292,$M$2:M292,1),"")</f>
        <v/>
      </c>
      <c r="S292" s="50" t="str">
        <f t="shared" si="19"/>
        <v/>
      </c>
    </row>
    <row r="293" spans="1:19" ht="45" customHeight="1" x14ac:dyDescent="0.35">
      <c r="A293" s="66">
        <v>46304</v>
      </c>
      <c r="B293" s="67" t="s">
        <v>100</v>
      </c>
      <c r="C293" s="67" t="s">
        <v>101</v>
      </c>
      <c r="D293" s="67" t="s">
        <v>93</v>
      </c>
      <c r="E293" s="67" t="s">
        <v>84</v>
      </c>
      <c r="F293" s="67" t="s">
        <v>183</v>
      </c>
      <c r="G293" s="67" t="s">
        <v>94</v>
      </c>
      <c r="H293" s="67" t="s">
        <v>87</v>
      </c>
      <c r="I293" s="67" t="s">
        <v>50</v>
      </c>
      <c r="J293" s="67" t="s">
        <v>88</v>
      </c>
      <c r="K293" s="67"/>
      <c r="L293" s="68" t="s">
        <v>95</v>
      </c>
      <c r="M293" s="68">
        <f>--AND(Configuración!$B$6&lt;&gt;"",OR(E293="Todas",ISNUMBER(SEARCH(Configuración!$B$7,E293))),IF(L293="Monotributo",Configuración!$B$10="Sí",IF(L293="Autónomos",Configuración!$B$11="Sí",IF(L293="Responsable inscripto",Configuración!$B$12="Sí",IF(L293="Empleador",Configuración!$B$13="Sí",IF(L293="Casas particulares",Configuración!$B$14="Sí",IF(L293="Retenciones",Configuración!$B$15="Sí",IF(L293="Sociedad",Configuración!$B$16="Sí",IF(L293="Persona humana",Configuración!$B$17="Sí",IF(L293="Convenio Multilateral",Configuración!$B$18="Sí",FALSE()))))))))))</f>
        <v>0</v>
      </c>
      <c r="N293" s="68" t="str">
        <f>IF(M293=1,COUNTIF($M$2:M293,1),"")</f>
        <v/>
      </c>
      <c r="O293" s="50">
        <f t="shared" ca="1" si="16"/>
        <v>51</v>
      </c>
      <c r="P293" s="17" t="str">
        <f t="shared" ca="1" si="17"/>
        <v>Faltan 51 días</v>
      </c>
      <c r="Q293" s="50">
        <f t="shared" si="18"/>
        <v>46304</v>
      </c>
      <c r="R293" s="17" t="str">
        <f>IF(M293=1,COUNTIFS($Q$2:Q293,Q293,$M$2:M293,1),"")</f>
        <v/>
      </c>
      <c r="S293" s="50" t="str">
        <f t="shared" si="19"/>
        <v/>
      </c>
    </row>
    <row r="294" spans="1:19" ht="45" customHeight="1" x14ac:dyDescent="0.35">
      <c r="A294" s="66">
        <v>46308</v>
      </c>
      <c r="B294" s="67" t="s">
        <v>29</v>
      </c>
      <c r="C294" s="67" t="s">
        <v>102</v>
      </c>
      <c r="D294" s="67" t="s">
        <v>103</v>
      </c>
      <c r="E294" s="67" t="s">
        <v>104</v>
      </c>
      <c r="F294" s="67" t="s">
        <v>183</v>
      </c>
      <c r="G294" s="67" t="s">
        <v>86</v>
      </c>
      <c r="H294" s="67" t="s">
        <v>87</v>
      </c>
      <c r="I294" s="67" t="s">
        <v>50</v>
      </c>
      <c r="J294" s="67" t="s">
        <v>88</v>
      </c>
      <c r="K294" s="67"/>
      <c r="L294" s="68" t="s">
        <v>29</v>
      </c>
      <c r="M294" s="68">
        <f>--AND(Configuración!$B$6&lt;&gt;"",OR(E294="Todas",ISNUMBER(SEARCH(Configuración!$B$7,E294))),IF(L294="Monotributo",Configuración!$B$10="Sí",IF(L294="Autónomos",Configuración!$B$11="Sí",IF(L294="Responsable inscripto",Configuración!$B$12="Sí",IF(L294="Empleador",Configuración!$B$13="Sí",IF(L294="Casas particulares",Configuración!$B$14="Sí",IF(L294="Retenciones",Configuración!$B$15="Sí",IF(L294="Sociedad",Configuración!$B$16="Sí",IF(L294="Persona humana",Configuración!$B$17="Sí",IF(L294="Convenio Multilateral",Configuración!$B$18="Sí",FALSE()))))))))))</f>
        <v>0</v>
      </c>
      <c r="N294" s="68" t="str">
        <f>IF(M294=1,COUNTIF($M$2:M294,1),"")</f>
        <v/>
      </c>
      <c r="O294" s="50">
        <f t="shared" ca="1" si="16"/>
        <v>55</v>
      </c>
      <c r="P294" s="17" t="str">
        <f t="shared" ca="1" si="17"/>
        <v>Faltan 55 días</v>
      </c>
      <c r="Q294" s="50">
        <f t="shared" si="18"/>
        <v>46308</v>
      </c>
      <c r="R294" s="17" t="str">
        <f>IF(M294=1,COUNTIFS($Q$2:Q294,Q294,$M$2:M294,1),"")</f>
        <v/>
      </c>
      <c r="S294" s="50" t="str">
        <f t="shared" si="19"/>
        <v/>
      </c>
    </row>
    <row r="295" spans="1:19" ht="45" customHeight="1" x14ac:dyDescent="0.35">
      <c r="A295" s="66">
        <v>46308</v>
      </c>
      <c r="B295" s="67" t="s">
        <v>100</v>
      </c>
      <c r="C295" s="67" t="s">
        <v>101</v>
      </c>
      <c r="D295" s="67" t="s">
        <v>93</v>
      </c>
      <c r="E295" s="67" t="s">
        <v>89</v>
      </c>
      <c r="F295" s="67" t="s">
        <v>183</v>
      </c>
      <c r="G295" s="67" t="s">
        <v>94</v>
      </c>
      <c r="H295" s="67" t="s">
        <v>87</v>
      </c>
      <c r="I295" s="67" t="s">
        <v>50</v>
      </c>
      <c r="J295" s="67" t="s">
        <v>88</v>
      </c>
      <c r="K295" s="67"/>
      <c r="L295" s="68" t="s">
        <v>95</v>
      </c>
      <c r="M295" s="68">
        <f>--AND(Configuración!$B$6&lt;&gt;"",OR(E295="Todas",ISNUMBER(SEARCH(Configuración!$B$7,E295))),IF(L295="Monotributo",Configuración!$B$10="Sí",IF(L295="Autónomos",Configuración!$B$11="Sí",IF(L295="Responsable inscripto",Configuración!$B$12="Sí",IF(L295="Empleador",Configuración!$B$13="Sí",IF(L295="Casas particulares",Configuración!$B$14="Sí",IF(L295="Retenciones",Configuración!$B$15="Sí",IF(L295="Sociedad",Configuración!$B$16="Sí",IF(L295="Persona humana",Configuración!$B$17="Sí",IF(L295="Convenio Multilateral",Configuración!$B$18="Sí",FALSE()))))))))))</f>
        <v>0</v>
      </c>
      <c r="N295" s="68" t="str">
        <f>IF(M295=1,COUNTIF($M$2:M295,1),"")</f>
        <v/>
      </c>
      <c r="O295" s="50">
        <f t="shared" ca="1" si="16"/>
        <v>55</v>
      </c>
      <c r="P295" s="17" t="str">
        <f t="shared" ca="1" si="17"/>
        <v>Faltan 55 días</v>
      </c>
      <c r="Q295" s="50">
        <f t="shared" si="18"/>
        <v>46308</v>
      </c>
      <c r="R295" s="17" t="str">
        <f>IF(M295=1,COUNTIFS($Q$2:Q295,Q295,$M$2:M295,1),"")</f>
        <v/>
      </c>
      <c r="S295" s="50" t="str">
        <f t="shared" si="19"/>
        <v/>
      </c>
    </row>
    <row r="296" spans="1:19" ht="45" customHeight="1" x14ac:dyDescent="0.35">
      <c r="A296" s="66">
        <v>46308</v>
      </c>
      <c r="B296" s="67" t="s">
        <v>100</v>
      </c>
      <c r="C296" s="67" t="s">
        <v>101</v>
      </c>
      <c r="D296" s="67" t="s">
        <v>93</v>
      </c>
      <c r="E296" s="67" t="s">
        <v>90</v>
      </c>
      <c r="F296" s="67" t="s">
        <v>183</v>
      </c>
      <c r="G296" s="67" t="s">
        <v>94</v>
      </c>
      <c r="H296" s="67" t="s">
        <v>87</v>
      </c>
      <c r="I296" s="67" t="s">
        <v>50</v>
      </c>
      <c r="J296" s="67" t="s">
        <v>88</v>
      </c>
      <c r="K296" s="67"/>
      <c r="L296" s="68" t="s">
        <v>95</v>
      </c>
      <c r="M296" s="68">
        <f>--AND(Configuración!$B$6&lt;&gt;"",OR(E296="Todas",ISNUMBER(SEARCH(Configuración!$B$7,E296))),IF(L296="Monotributo",Configuración!$B$10="Sí",IF(L296="Autónomos",Configuración!$B$11="Sí",IF(L296="Responsable inscripto",Configuración!$B$12="Sí",IF(L296="Empleador",Configuración!$B$13="Sí",IF(L296="Casas particulares",Configuración!$B$14="Sí",IF(L296="Retenciones",Configuración!$B$15="Sí",IF(L296="Sociedad",Configuración!$B$16="Sí",IF(L296="Persona humana",Configuración!$B$17="Sí",IF(L296="Convenio Multilateral",Configuración!$B$18="Sí",FALSE()))))))))))</f>
        <v>0</v>
      </c>
      <c r="N296" s="68" t="str">
        <f>IF(M296=1,COUNTIF($M$2:M296,1),"")</f>
        <v/>
      </c>
      <c r="O296" s="50">
        <f t="shared" ca="1" si="16"/>
        <v>55</v>
      </c>
      <c r="P296" s="17" t="str">
        <f t="shared" ca="1" si="17"/>
        <v>Faltan 55 días</v>
      </c>
      <c r="Q296" s="50">
        <f t="shared" si="18"/>
        <v>46308</v>
      </c>
      <c r="R296" s="17" t="str">
        <f>IF(M296=1,COUNTIFS($Q$2:Q296,Q296,$M$2:M296,1),"")</f>
        <v/>
      </c>
      <c r="S296" s="50" t="str">
        <f t="shared" si="19"/>
        <v/>
      </c>
    </row>
    <row r="297" spans="1:19" ht="45" customHeight="1" x14ac:dyDescent="0.35">
      <c r="A297" s="66">
        <v>46308.625</v>
      </c>
      <c r="B297" s="67" t="s">
        <v>105</v>
      </c>
      <c r="C297" s="67" t="s">
        <v>106</v>
      </c>
      <c r="D297" s="67" t="s">
        <v>107</v>
      </c>
      <c r="E297" s="67" t="s">
        <v>84</v>
      </c>
      <c r="F297" s="67" t="s">
        <v>159</v>
      </c>
      <c r="G297" s="67" t="s">
        <v>109</v>
      </c>
      <c r="H297" s="67" t="s">
        <v>87</v>
      </c>
      <c r="I297" s="67" t="s">
        <v>50</v>
      </c>
      <c r="J297" s="67" t="s">
        <v>110</v>
      </c>
      <c r="K297" s="67" t="s">
        <v>111</v>
      </c>
      <c r="L297" s="68" t="s">
        <v>112</v>
      </c>
      <c r="M297" s="68">
        <f>--AND(Configuración!$B$6&lt;&gt;"",OR(E297="Todas",ISNUMBER(SEARCH(Configuración!$B$7,E297))),IF(L297="Monotributo",Configuración!$B$10="Sí",IF(L297="Autónomos",Configuración!$B$11="Sí",IF(L297="Responsable inscripto",Configuración!$B$12="Sí",IF(L297="Empleador",Configuración!$B$13="Sí",IF(L297="Casas particulares",Configuración!$B$14="Sí",IF(L297="Retenciones",Configuración!$B$15="Sí",IF(L297="Sociedad",Configuración!$B$16="Sí",IF(L297="Persona humana",Configuración!$B$17="Sí",IF(L297="Convenio Multilateral",Configuración!$B$18="Sí",FALSE()))))))))))</f>
        <v>0</v>
      </c>
      <c r="N297" s="68" t="str">
        <f>IF(M297=1,COUNTIF($M$2:M297,1),"")</f>
        <v/>
      </c>
      <c r="O297" s="50">
        <f t="shared" ca="1" si="16"/>
        <v>55</v>
      </c>
      <c r="P297" s="17" t="str">
        <f t="shared" ca="1" si="17"/>
        <v>Faltan 55 días</v>
      </c>
      <c r="Q297" s="50">
        <f t="shared" si="18"/>
        <v>46308</v>
      </c>
      <c r="R297" s="17" t="str">
        <f>IF(M297=1,COUNTIFS($Q$2:Q297,Q297,$M$2:M297,1),"")</f>
        <v/>
      </c>
      <c r="S297" s="50" t="str">
        <f t="shared" si="19"/>
        <v/>
      </c>
    </row>
    <row r="298" spans="1:19" ht="45" customHeight="1" x14ac:dyDescent="0.35">
      <c r="A298" s="66">
        <v>46309.625</v>
      </c>
      <c r="B298" s="67" t="s">
        <v>105</v>
      </c>
      <c r="C298" s="67" t="s">
        <v>106</v>
      </c>
      <c r="D298" s="67" t="s">
        <v>107</v>
      </c>
      <c r="E298" s="67" t="s">
        <v>89</v>
      </c>
      <c r="F298" s="67" t="s">
        <v>159</v>
      </c>
      <c r="G298" s="67" t="s">
        <v>109</v>
      </c>
      <c r="H298" s="67" t="s">
        <v>87</v>
      </c>
      <c r="I298" s="67" t="s">
        <v>50</v>
      </c>
      <c r="J298" s="67" t="s">
        <v>110</v>
      </c>
      <c r="K298" s="67" t="s">
        <v>111</v>
      </c>
      <c r="L298" s="68" t="s">
        <v>112</v>
      </c>
      <c r="M298" s="68">
        <f>--AND(Configuración!$B$6&lt;&gt;"",OR(E298="Todas",ISNUMBER(SEARCH(Configuración!$B$7,E298))),IF(L298="Monotributo",Configuración!$B$10="Sí",IF(L298="Autónomos",Configuración!$B$11="Sí",IF(L298="Responsable inscripto",Configuración!$B$12="Sí",IF(L298="Empleador",Configuración!$B$13="Sí",IF(L298="Casas particulares",Configuración!$B$14="Sí",IF(L298="Retenciones",Configuración!$B$15="Sí",IF(L298="Sociedad",Configuración!$B$16="Sí",IF(L298="Persona humana",Configuración!$B$17="Sí",IF(L298="Convenio Multilateral",Configuración!$B$18="Sí",FALSE()))))))))))</f>
        <v>0</v>
      </c>
      <c r="N298" s="68" t="str">
        <f>IF(M298=1,COUNTIF($M$2:M298,1),"")</f>
        <v/>
      </c>
      <c r="O298" s="50">
        <f t="shared" ca="1" si="16"/>
        <v>56</v>
      </c>
      <c r="P298" s="17" t="str">
        <f t="shared" ca="1" si="17"/>
        <v>Faltan 56 días</v>
      </c>
      <c r="Q298" s="50">
        <f t="shared" si="18"/>
        <v>46309</v>
      </c>
      <c r="R298" s="17" t="str">
        <f>IF(M298=1,COUNTIFS($Q$2:Q298,Q298,$M$2:M298,1),"")</f>
        <v/>
      </c>
      <c r="S298" s="50" t="str">
        <f t="shared" si="19"/>
        <v/>
      </c>
    </row>
    <row r="299" spans="1:19" ht="45" customHeight="1" x14ac:dyDescent="0.35">
      <c r="A299" s="66">
        <v>46310</v>
      </c>
      <c r="B299" s="67" t="s">
        <v>29</v>
      </c>
      <c r="C299" s="67" t="s">
        <v>113</v>
      </c>
      <c r="D299" s="67" t="s">
        <v>114</v>
      </c>
      <c r="E299" s="67" t="s">
        <v>104</v>
      </c>
      <c r="F299" s="67" t="s">
        <v>183</v>
      </c>
      <c r="G299" s="67" t="s">
        <v>86</v>
      </c>
      <c r="H299" s="67" t="s">
        <v>87</v>
      </c>
      <c r="I299" s="67" t="s">
        <v>50</v>
      </c>
      <c r="J299" s="67" t="s">
        <v>88</v>
      </c>
      <c r="K299" s="67"/>
      <c r="L299" s="68" t="s">
        <v>29</v>
      </c>
      <c r="M299" s="68">
        <f>--AND(Configuración!$B$6&lt;&gt;"",OR(E299="Todas",ISNUMBER(SEARCH(Configuración!$B$7,E299))),IF(L299="Monotributo",Configuración!$B$10="Sí",IF(L299="Autónomos",Configuración!$B$11="Sí",IF(L299="Responsable inscripto",Configuración!$B$12="Sí",IF(L299="Empleador",Configuración!$B$13="Sí",IF(L299="Casas particulares",Configuración!$B$14="Sí",IF(L299="Retenciones",Configuración!$B$15="Sí",IF(L299="Sociedad",Configuración!$B$16="Sí",IF(L299="Persona humana",Configuración!$B$17="Sí",IF(L299="Convenio Multilateral",Configuración!$B$18="Sí",FALSE()))))))))))</f>
        <v>0</v>
      </c>
      <c r="N299" s="68" t="str">
        <f>IF(M299=1,COUNTIF($M$2:M299,1),"")</f>
        <v/>
      </c>
      <c r="O299" s="50">
        <f t="shared" ca="1" si="16"/>
        <v>57</v>
      </c>
      <c r="P299" s="17" t="str">
        <f t="shared" ca="1" si="17"/>
        <v>Faltan 57 días</v>
      </c>
      <c r="Q299" s="50">
        <f t="shared" si="18"/>
        <v>46310</v>
      </c>
      <c r="R299" s="17" t="str">
        <f>IF(M299=1,COUNTIFS($Q$2:Q299,Q299,$M$2:M299,1),"")</f>
        <v/>
      </c>
      <c r="S299" s="50" t="str">
        <f t="shared" si="19"/>
        <v/>
      </c>
    </row>
    <row r="300" spans="1:19" ht="45" customHeight="1" x14ac:dyDescent="0.35">
      <c r="A300" s="66">
        <v>46310.625</v>
      </c>
      <c r="B300" s="67" t="s">
        <v>105</v>
      </c>
      <c r="C300" s="67" t="s">
        <v>106</v>
      </c>
      <c r="D300" s="67" t="s">
        <v>107</v>
      </c>
      <c r="E300" s="67" t="s">
        <v>90</v>
      </c>
      <c r="F300" s="67" t="s">
        <v>159</v>
      </c>
      <c r="G300" s="67" t="s">
        <v>109</v>
      </c>
      <c r="H300" s="67" t="s">
        <v>87</v>
      </c>
      <c r="I300" s="67" t="s">
        <v>50</v>
      </c>
      <c r="J300" s="67" t="s">
        <v>110</v>
      </c>
      <c r="K300" s="67" t="s">
        <v>111</v>
      </c>
      <c r="L300" s="68" t="s">
        <v>112</v>
      </c>
      <c r="M300" s="68">
        <f>--AND(Configuración!$B$6&lt;&gt;"",OR(E300="Todas",ISNUMBER(SEARCH(Configuración!$B$7,E300))),IF(L300="Monotributo",Configuración!$B$10="Sí",IF(L300="Autónomos",Configuración!$B$11="Sí",IF(L300="Responsable inscripto",Configuración!$B$12="Sí",IF(L300="Empleador",Configuración!$B$13="Sí",IF(L300="Casas particulares",Configuración!$B$14="Sí",IF(L300="Retenciones",Configuración!$B$15="Sí",IF(L300="Sociedad",Configuración!$B$16="Sí",IF(L300="Persona humana",Configuración!$B$17="Sí",IF(L300="Convenio Multilateral",Configuración!$B$18="Sí",FALSE()))))))))))</f>
        <v>0</v>
      </c>
      <c r="N300" s="68" t="str">
        <f>IF(M300=1,COUNTIF($M$2:M300,1),"")</f>
        <v/>
      </c>
      <c r="O300" s="50">
        <f t="shared" ca="1" si="16"/>
        <v>57</v>
      </c>
      <c r="P300" s="17" t="str">
        <f t="shared" ca="1" si="17"/>
        <v>Faltan 57 días</v>
      </c>
      <c r="Q300" s="50">
        <f t="shared" si="18"/>
        <v>46310</v>
      </c>
      <c r="R300" s="17" t="str">
        <f>IF(M300=1,COUNTIFS($Q$2:Q300,Q300,$M$2:M300,1),"")</f>
        <v/>
      </c>
      <c r="S300" s="50" t="str">
        <f t="shared" si="19"/>
        <v/>
      </c>
    </row>
    <row r="301" spans="1:19" ht="45" customHeight="1" x14ac:dyDescent="0.35">
      <c r="A301" s="66">
        <v>46310.625</v>
      </c>
      <c r="B301" s="67" t="s">
        <v>137</v>
      </c>
      <c r="C301" s="67" t="s">
        <v>138</v>
      </c>
      <c r="D301" s="67" t="s">
        <v>139</v>
      </c>
      <c r="E301" s="67" t="s">
        <v>140</v>
      </c>
      <c r="F301" s="67" t="s">
        <v>184</v>
      </c>
      <c r="G301" s="67" t="s">
        <v>94</v>
      </c>
      <c r="H301" s="67" t="s">
        <v>142</v>
      </c>
      <c r="I301" s="67" t="s">
        <v>50</v>
      </c>
      <c r="J301" s="67" t="s">
        <v>150</v>
      </c>
      <c r="K301" s="67" t="s">
        <v>151</v>
      </c>
      <c r="L301" s="68" t="s">
        <v>33</v>
      </c>
      <c r="M301" s="68">
        <f>--AND(Configuración!$B$6&lt;&gt;"",OR(E301="Todas",ISNUMBER(SEARCH(Configuración!$B$7,E301))),IF(L301="Monotributo",Configuración!$B$10="Sí",IF(L301="Autónomos",Configuración!$B$11="Sí",IF(L301="Responsable inscripto",Configuración!$B$12="Sí",IF(L301="Empleador",Configuración!$B$13="Sí",IF(L301="Casas particulares",Configuración!$B$14="Sí",IF(L301="Retenciones",Configuración!$B$15="Sí",IF(L301="Sociedad",Configuración!$B$16="Sí",IF(L301="Persona humana",Configuración!$B$17="Sí",IF(L301="Convenio Multilateral",Configuración!$B$18="Sí",FALSE()))))))))))</f>
        <v>0</v>
      </c>
      <c r="N301" s="68" t="str">
        <f>IF(M301=1,COUNTIF($M$2:M301,1),"")</f>
        <v/>
      </c>
      <c r="O301" s="50">
        <f t="shared" ca="1" si="16"/>
        <v>57</v>
      </c>
      <c r="P301" s="17" t="str">
        <f t="shared" ca="1" si="17"/>
        <v>Faltan 57 días</v>
      </c>
      <c r="Q301" s="50">
        <f t="shared" si="18"/>
        <v>46310</v>
      </c>
      <c r="R301" s="17" t="str">
        <f>IF(M301=1,COUNTIFS($Q$2:Q301,Q301,$M$2:M301,1),"")</f>
        <v/>
      </c>
      <c r="S301" s="50" t="str">
        <f t="shared" si="19"/>
        <v/>
      </c>
    </row>
    <row r="302" spans="1:19" ht="45" customHeight="1" x14ac:dyDescent="0.35">
      <c r="A302" s="66">
        <v>46311.625</v>
      </c>
      <c r="B302" s="67" t="s">
        <v>137</v>
      </c>
      <c r="C302" s="67" t="s">
        <v>138</v>
      </c>
      <c r="D302" s="67" t="s">
        <v>139</v>
      </c>
      <c r="E302" s="67" t="s">
        <v>145</v>
      </c>
      <c r="F302" s="67" t="s">
        <v>184</v>
      </c>
      <c r="G302" s="67" t="s">
        <v>94</v>
      </c>
      <c r="H302" s="67" t="s">
        <v>142</v>
      </c>
      <c r="I302" s="67" t="s">
        <v>50</v>
      </c>
      <c r="J302" s="67" t="s">
        <v>150</v>
      </c>
      <c r="K302" s="67" t="s">
        <v>151</v>
      </c>
      <c r="L302" s="68" t="s">
        <v>33</v>
      </c>
      <c r="M302" s="68">
        <f>--AND(Configuración!$B$6&lt;&gt;"",OR(E302="Todas",ISNUMBER(SEARCH(Configuración!$B$7,E302))),IF(L302="Monotributo",Configuración!$B$10="Sí",IF(L302="Autónomos",Configuración!$B$11="Sí",IF(L302="Responsable inscripto",Configuración!$B$12="Sí",IF(L302="Empleador",Configuración!$B$13="Sí",IF(L302="Casas particulares",Configuración!$B$14="Sí",IF(L302="Retenciones",Configuración!$B$15="Sí",IF(L302="Sociedad",Configuración!$B$16="Sí",IF(L302="Persona humana",Configuración!$B$17="Sí",IF(L302="Convenio Multilateral",Configuración!$B$18="Sí",FALSE()))))))))))</f>
        <v>0</v>
      </c>
      <c r="N302" s="68" t="str">
        <f>IF(M302=1,COUNTIF($M$2:M302,1),"")</f>
        <v/>
      </c>
      <c r="O302" s="50">
        <f t="shared" ca="1" si="16"/>
        <v>58</v>
      </c>
      <c r="P302" s="17" t="str">
        <f t="shared" ca="1" si="17"/>
        <v>Faltan 58 días</v>
      </c>
      <c r="Q302" s="50">
        <f t="shared" si="18"/>
        <v>46311</v>
      </c>
      <c r="R302" s="17" t="str">
        <f>IF(M302=1,COUNTIFS($Q$2:Q302,Q302,$M$2:M302,1),"")</f>
        <v/>
      </c>
      <c r="S302" s="50" t="str">
        <f t="shared" si="19"/>
        <v/>
      </c>
    </row>
    <row r="303" spans="1:19" ht="45" customHeight="1" x14ac:dyDescent="0.35">
      <c r="A303" s="66">
        <v>46314</v>
      </c>
      <c r="B303" s="67" t="s">
        <v>115</v>
      </c>
      <c r="C303" s="67" t="s">
        <v>116</v>
      </c>
      <c r="D303" s="67" t="s">
        <v>117</v>
      </c>
      <c r="E303" s="67" t="s">
        <v>84</v>
      </c>
      <c r="F303" s="67" t="s">
        <v>183</v>
      </c>
      <c r="G303" s="67" t="s">
        <v>94</v>
      </c>
      <c r="H303" s="67" t="s">
        <v>87</v>
      </c>
      <c r="I303" s="67" t="s">
        <v>50</v>
      </c>
      <c r="J303" s="67" t="s">
        <v>88</v>
      </c>
      <c r="K303" s="67"/>
      <c r="L303" s="68" t="s">
        <v>118</v>
      </c>
      <c r="M303" s="68">
        <f>--AND(Configuración!$B$6&lt;&gt;"",OR(E303="Todas",ISNUMBER(SEARCH(Configuración!$B$7,E303))),IF(L303="Monotributo",Configuración!$B$10="Sí",IF(L303="Autónomos",Configuración!$B$11="Sí",IF(L303="Responsable inscripto",Configuración!$B$12="Sí",IF(L303="Empleador",Configuración!$B$13="Sí",IF(L303="Casas particulares",Configuración!$B$14="Sí",IF(L303="Retenciones",Configuración!$B$15="Sí",IF(L303="Sociedad",Configuración!$B$16="Sí",IF(L303="Persona humana",Configuración!$B$17="Sí",IF(L303="Convenio Multilateral",Configuración!$B$18="Sí",FALSE()))))))))))</f>
        <v>0</v>
      </c>
      <c r="N303" s="68" t="str">
        <f>IF(M303=1,COUNTIF($M$2:M303,1),"")</f>
        <v/>
      </c>
      <c r="O303" s="50">
        <f t="shared" ca="1" si="16"/>
        <v>61</v>
      </c>
      <c r="P303" s="17" t="str">
        <f t="shared" ca="1" si="17"/>
        <v>Faltan 61 días</v>
      </c>
      <c r="Q303" s="50">
        <f t="shared" si="18"/>
        <v>46314</v>
      </c>
      <c r="R303" s="17" t="str">
        <f>IF(M303=1,COUNTIFS($Q$2:Q303,Q303,$M$2:M303,1),"")</f>
        <v/>
      </c>
      <c r="S303" s="50" t="str">
        <f t="shared" si="19"/>
        <v/>
      </c>
    </row>
    <row r="304" spans="1:19" ht="45" customHeight="1" x14ac:dyDescent="0.35">
      <c r="A304" s="66">
        <v>46314</v>
      </c>
      <c r="B304" s="67" t="s">
        <v>115</v>
      </c>
      <c r="C304" s="67" t="s">
        <v>116</v>
      </c>
      <c r="D304" s="67" t="s">
        <v>117</v>
      </c>
      <c r="E304" s="67" t="s">
        <v>89</v>
      </c>
      <c r="F304" s="67" t="s">
        <v>183</v>
      </c>
      <c r="G304" s="67" t="s">
        <v>94</v>
      </c>
      <c r="H304" s="67" t="s">
        <v>87</v>
      </c>
      <c r="I304" s="67" t="s">
        <v>50</v>
      </c>
      <c r="J304" s="67" t="s">
        <v>88</v>
      </c>
      <c r="K304" s="67"/>
      <c r="L304" s="68" t="s">
        <v>118</v>
      </c>
      <c r="M304" s="68">
        <f>--AND(Configuración!$B$6&lt;&gt;"",OR(E304="Todas",ISNUMBER(SEARCH(Configuración!$B$7,E304))),IF(L304="Monotributo",Configuración!$B$10="Sí",IF(L304="Autónomos",Configuración!$B$11="Sí",IF(L304="Responsable inscripto",Configuración!$B$12="Sí",IF(L304="Empleador",Configuración!$B$13="Sí",IF(L304="Casas particulares",Configuración!$B$14="Sí",IF(L304="Retenciones",Configuración!$B$15="Sí",IF(L304="Sociedad",Configuración!$B$16="Sí",IF(L304="Persona humana",Configuración!$B$17="Sí",IF(L304="Convenio Multilateral",Configuración!$B$18="Sí",FALSE()))))))))))</f>
        <v>0</v>
      </c>
      <c r="N304" s="68" t="str">
        <f>IF(M304=1,COUNTIF($M$2:M304,1),"")</f>
        <v/>
      </c>
      <c r="O304" s="50">
        <f t="shared" ca="1" si="16"/>
        <v>61</v>
      </c>
      <c r="P304" s="17" t="str">
        <f t="shared" ca="1" si="17"/>
        <v>Faltan 61 días</v>
      </c>
      <c r="Q304" s="50">
        <f t="shared" si="18"/>
        <v>46314</v>
      </c>
      <c r="R304" s="17" t="str">
        <f>IF(M304=1,COUNTIFS($Q$2:Q304,Q304,$M$2:M304,1),"")</f>
        <v/>
      </c>
      <c r="S304" s="50" t="str">
        <f t="shared" si="19"/>
        <v/>
      </c>
    </row>
    <row r="305" spans="1:19" ht="45" customHeight="1" x14ac:dyDescent="0.35">
      <c r="A305" s="66">
        <v>46314</v>
      </c>
      <c r="B305" s="67" t="s">
        <v>119</v>
      </c>
      <c r="C305" s="67" t="s">
        <v>120</v>
      </c>
      <c r="D305" s="67" t="s">
        <v>121</v>
      </c>
      <c r="E305" s="67" t="s">
        <v>84</v>
      </c>
      <c r="F305" s="67" t="s">
        <v>183</v>
      </c>
      <c r="G305" s="67" t="s">
        <v>94</v>
      </c>
      <c r="H305" s="67" t="s">
        <v>87</v>
      </c>
      <c r="I305" s="67" t="s">
        <v>50</v>
      </c>
      <c r="J305" s="67" t="s">
        <v>88</v>
      </c>
      <c r="K305" s="67"/>
      <c r="L305" s="68" t="s">
        <v>118</v>
      </c>
      <c r="M305" s="68">
        <f>--AND(Configuración!$B$6&lt;&gt;"",OR(E305="Todas",ISNUMBER(SEARCH(Configuración!$B$7,E305))),IF(L305="Monotributo",Configuración!$B$10="Sí",IF(L305="Autónomos",Configuración!$B$11="Sí",IF(L305="Responsable inscripto",Configuración!$B$12="Sí",IF(L305="Empleador",Configuración!$B$13="Sí",IF(L305="Casas particulares",Configuración!$B$14="Sí",IF(L305="Retenciones",Configuración!$B$15="Sí",IF(L305="Sociedad",Configuración!$B$16="Sí",IF(L305="Persona humana",Configuración!$B$17="Sí",IF(L305="Convenio Multilateral",Configuración!$B$18="Sí",FALSE()))))))))))</f>
        <v>0</v>
      </c>
      <c r="N305" s="68" t="str">
        <f>IF(M305=1,COUNTIF($M$2:M305,1),"")</f>
        <v/>
      </c>
      <c r="O305" s="50">
        <f t="shared" ca="1" si="16"/>
        <v>61</v>
      </c>
      <c r="P305" s="17" t="str">
        <f t="shared" ca="1" si="17"/>
        <v>Faltan 61 días</v>
      </c>
      <c r="Q305" s="50">
        <f t="shared" si="18"/>
        <v>46314</v>
      </c>
      <c r="R305" s="17" t="str">
        <f>IF(M305=1,COUNTIFS($Q$2:Q305,Q305,$M$2:M305,1),"")</f>
        <v/>
      </c>
      <c r="S305" s="50" t="str">
        <f t="shared" si="19"/>
        <v/>
      </c>
    </row>
    <row r="306" spans="1:19" ht="45" customHeight="1" x14ac:dyDescent="0.35">
      <c r="A306" s="66">
        <v>46314</v>
      </c>
      <c r="B306" s="67" t="s">
        <v>119</v>
      </c>
      <c r="C306" s="67" t="s">
        <v>120</v>
      </c>
      <c r="D306" s="67" t="s">
        <v>121</v>
      </c>
      <c r="E306" s="67" t="s">
        <v>89</v>
      </c>
      <c r="F306" s="67" t="s">
        <v>183</v>
      </c>
      <c r="G306" s="67" t="s">
        <v>94</v>
      </c>
      <c r="H306" s="67" t="s">
        <v>87</v>
      </c>
      <c r="I306" s="67" t="s">
        <v>50</v>
      </c>
      <c r="J306" s="67" t="s">
        <v>88</v>
      </c>
      <c r="K306" s="67"/>
      <c r="L306" s="68" t="s">
        <v>118</v>
      </c>
      <c r="M306" s="68">
        <f>--AND(Configuración!$B$6&lt;&gt;"",OR(E306="Todas",ISNUMBER(SEARCH(Configuración!$B$7,E306))),IF(L306="Monotributo",Configuración!$B$10="Sí",IF(L306="Autónomos",Configuración!$B$11="Sí",IF(L306="Responsable inscripto",Configuración!$B$12="Sí",IF(L306="Empleador",Configuración!$B$13="Sí",IF(L306="Casas particulares",Configuración!$B$14="Sí",IF(L306="Retenciones",Configuración!$B$15="Sí",IF(L306="Sociedad",Configuración!$B$16="Sí",IF(L306="Persona humana",Configuración!$B$17="Sí",IF(L306="Convenio Multilateral",Configuración!$B$18="Sí",FALSE()))))))))))</f>
        <v>0</v>
      </c>
      <c r="N306" s="68" t="str">
        <f>IF(M306=1,COUNTIF($M$2:M306,1),"")</f>
        <v/>
      </c>
      <c r="O306" s="50">
        <f t="shared" ca="1" si="16"/>
        <v>61</v>
      </c>
      <c r="P306" s="17" t="str">
        <f t="shared" ca="1" si="17"/>
        <v>Faltan 61 días</v>
      </c>
      <c r="Q306" s="50">
        <f t="shared" si="18"/>
        <v>46314</v>
      </c>
      <c r="R306" s="17" t="str">
        <f>IF(M306=1,COUNTIFS($Q$2:Q306,Q306,$M$2:M306,1),"")</f>
        <v/>
      </c>
      <c r="S306" s="50" t="str">
        <f t="shared" si="19"/>
        <v/>
      </c>
    </row>
    <row r="307" spans="1:19" ht="45" customHeight="1" x14ac:dyDescent="0.35">
      <c r="A307" s="66">
        <v>46314</v>
      </c>
      <c r="B307" s="67" t="s">
        <v>122</v>
      </c>
      <c r="C307" s="67" t="s">
        <v>123</v>
      </c>
      <c r="D307" s="67" t="s">
        <v>124</v>
      </c>
      <c r="E307" s="67" t="s">
        <v>84</v>
      </c>
      <c r="F307" s="67" t="s">
        <v>183</v>
      </c>
      <c r="G307" s="67" t="s">
        <v>109</v>
      </c>
      <c r="H307" s="67" t="s">
        <v>87</v>
      </c>
      <c r="I307" s="67" t="s">
        <v>50</v>
      </c>
      <c r="J307" s="67" t="s">
        <v>88</v>
      </c>
      <c r="K307" s="67" t="s">
        <v>125</v>
      </c>
      <c r="L307" s="68" t="s">
        <v>118</v>
      </c>
      <c r="M307" s="68">
        <f>--AND(Configuración!$B$6&lt;&gt;"",OR(E307="Todas",ISNUMBER(SEARCH(Configuración!$B$7,E307))),IF(L307="Monotributo",Configuración!$B$10="Sí",IF(L307="Autónomos",Configuración!$B$11="Sí",IF(L307="Responsable inscripto",Configuración!$B$12="Sí",IF(L307="Empleador",Configuración!$B$13="Sí",IF(L307="Casas particulares",Configuración!$B$14="Sí",IF(L307="Retenciones",Configuración!$B$15="Sí",IF(L307="Sociedad",Configuración!$B$16="Sí",IF(L307="Persona humana",Configuración!$B$17="Sí",IF(L307="Convenio Multilateral",Configuración!$B$18="Sí",FALSE()))))))))))</f>
        <v>0</v>
      </c>
      <c r="N307" s="68" t="str">
        <f>IF(M307=1,COUNTIF($M$2:M307,1),"")</f>
        <v/>
      </c>
      <c r="O307" s="50">
        <f t="shared" ca="1" si="16"/>
        <v>61</v>
      </c>
      <c r="P307" s="17" t="str">
        <f t="shared" ca="1" si="17"/>
        <v>Faltan 61 días</v>
      </c>
      <c r="Q307" s="50">
        <f t="shared" si="18"/>
        <v>46314</v>
      </c>
      <c r="R307" s="17" t="str">
        <f>IF(M307=1,COUNTIFS($Q$2:Q307,Q307,$M$2:M307,1),"")</f>
        <v/>
      </c>
      <c r="S307" s="50" t="str">
        <f t="shared" si="19"/>
        <v/>
      </c>
    </row>
    <row r="308" spans="1:19" ht="45" customHeight="1" x14ac:dyDescent="0.35">
      <c r="A308" s="66">
        <v>46314</v>
      </c>
      <c r="B308" s="67" t="s">
        <v>122</v>
      </c>
      <c r="C308" s="67" t="s">
        <v>123</v>
      </c>
      <c r="D308" s="67" t="s">
        <v>124</v>
      </c>
      <c r="E308" s="67" t="s">
        <v>89</v>
      </c>
      <c r="F308" s="67" t="s">
        <v>183</v>
      </c>
      <c r="G308" s="67" t="s">
        <v>109</v>
      </c>
      <c r="H308" s="67" t="s">
        <v>87</v>
      </c>
      <c r="I308" s="67" t="s">
        <v>50</v>
      </c>
      <c r="J308" s="67" t="s">
        <v>88</v>
      </c>
      <c r="K308" s="67" t="s">
        <v>125</v>
      </c>
      <c r="L308" s="68" t="s">
        <v>118</v>
      </c>
      <c r="M308" s="68">
        <f>--AND(Configuración!$B$6&lt;&gt;"",OR(E308="Todas",ISNUMBER(SEARCH(Configuración!$B$7,E308))),IF(L308="Monotributo",Configuración!$B$10="Sí",IF(L308="Autónomos",Configuración!$B$11="Sí",IF(L308="Responsable inscripto",Configuración!$B$12="Sí",IF(L308="Empleador",Configuración!$B$13="Sí",IF(L308="Casas particulares",Configuración!$B$14="Sí",IF(L308="Retenciones",Configuración!$B$15="Sí",IF(L308="Sociedad",Configuración!$B$16="Sí",IF(L308="Persona humana",Configuración!$B$17="Sí",IF(L308="Convenio Multilateral",Configuración!$B$18="Sí",FALSE()))))))))))</f>
        <v>0</v>
      </c>
      <c r="N308" s="68" t="str">
        <f>IF(M308=1,COUNTIF($M$2:M308,1),"")</f>
        <v/>
      </c>
      <c r="O308" s="50">
        <f t="shared" ca="1" si="16"/>
        <v>61</v>
      </c>
      <c r="P308" s="17" t="str">
        <f t="shared" ca="1" si="17"/>
        <v>Faltan 61 días</v>
      </c>
      <c r="Q308" s="50">
        <f t="shared" si="18"/>
        <v>46314</v>
      </c>
      <c r="R308" s="17" t="str">
        <f>IF(M308=1,COUNTIFS($Q$2:Q308,Q308,$M$2:M308,1),"")</f>
        <v/>
      </c>
      <c r="S308" s="50" t="str">
        <f t="shared" si="19"/>
        <v/>
      </c>
    </row>
    <row r="309" spans="1:19" ht="45" customHeight="1" x14ac:dyDescent="0.35">
      <c r="A309" s="66">
        <v>46314.625</v>
      </c>
      <c r="B309" s="67" t="s">
        <v>137</v>
      </c>
      <c r="C309" s="67" t="s">
        <v>138</v>
      </c>
      <c r="D309" s="67" t="s">
        <v>139</v>
      </c>
      <c r="E309" s="67" t="s">
        <v>146</v>
      </c>
      <c r="F309" s="67" t="s">
        <v>184</v>
      </c>
      <c r="G309" s="67" t="s">
        <v>94</v>
      </c>
      <c r="H309" s="67" t="s">
        <v>142</v>
      </c>
      <c r="I309" s="67" t="s">
        <v>50</v>
      </c>
      <c r="J309" s="67" t="s">
        <v>150</v>
      </c>
      <c r="K309" s="67" t="s">
        <v>151</v>
      </c>
      <c r="L309" s="68" t="s">
        <v>33</v>
      </c>
      <c r="M309" s="68">
        <f>--AND(Configuración!$B$6&lt;&gt;"",OR(E309="Todas",ISNUMBER(SEARCH(Configuración!$B$7,E309))),IF(L309="Monotributo",Configuración!$B$10="Sí",IF(L309="Autónomos",Configuración!$B$11="Sí",IF(L309="Responsable inscripto",Configuración!$B$12="Sí",IF(L309="Empleador",Configuración!$B$13="Sí",IF(L309="Casas particulares",Configuración!$B$14="Sí",IF(L309="Retenciones",Configuración!$B$15="Sí",IF(L309="Sociedad",Configuración!$B$16="Sí",IF(L309="Persona humana",Configuración!$B$17="Sí",IF(L309="Convenio Multilateral",Configuración!$B$18="Sí",FALSE()))))))))))</f>
        <v>0</v>
      </c>
      <c r="N309" s="68" t="str">
        <f>IF(M309=1,COUNTIF($M$2:M309,1),"")</f>
        <v/>
      </c>
      <c r="O309" s="50">
        <f t="shared" ca="1" si="16"/>
        <v>61</v>
      </c>
      <c r="P309" s="17" t="str">
        <f t="shared" ca="1" si="17"/>
        <v>Faltan 61 días</v>
      </c>
      <c r="Q309" s="50">
        <f t="shared" si="18"/>
        <v>46314</v>
      </c>
      <c r="R309" s="17" t="str">
        <f>IF(M309=1,COUNTIFS($Q$2:Q309,Q309,$M$2:M309,1),"")</f>
        <v/>
      </c>
      <c r="S309" s="50" t="str">
        <f t="shared" si="19"/>
        <v/>
      </c>
    </row>
    <row r="310" spans="1:19" ht="45" customHeight="1" x14ac:dyDescent="0.35">
      <c r="A310" s="66">
        <v>46315</v>
      </c>
      <c r="B310" s="67" t="s">
        <v>115</v>
      </c>
      <c r="C310" s="67" t="s">
        <v>116</v>
      </c>
      <c r="D310" s="67" t="s">
        <v>117</v>
      </c>
      <c r="E310" s="67" t="s">
        <v>90</v>
      </c>
      <c r="F310" s="67" t="s">
        <v>183</v>
      </c>
      <c r="G310" s="67" t="s">
        <v>94</v>
      </c>
      <c r="H310" s="67" t="s">
        <v>87</v>
      </c>
      <c r="I310" s="67" t="s">
        <v>50</v>
      </c>
      <c r="J310" s="67" t="s">
        <v>88</v>
      </c>
      <c r="K310" s="67"/>
      <c r="L310" s="68" t="s">
        <v>118</v>
      </c>
      <c r="M310" s="68">
        <f>--AND(Configuración!$B$6&lt;&gt;"",OR(E310="Todas",ISNUMBER(SEARCH(Configuración!$B$7,E310))),IF(L310="Monotributo",Configuración!$B$10="Sí",IF(L310="Autónomos",Configuración!$B$11="Sí",IF(L310="Responsable inscripto",Configuración!$B$12="Sí",IF(L310="Empleador",Configuración!$B$13="Sí",IF(L310="Casas particulares",Configuración!$B$14="Sí",IF(L310="Retenciones",Configuración!$B$15="Sí",IF(L310="Sociedad",Configuración!$B$16="Sí",IF(L310="Persona humana",Configuración!$B$17="Sí",IF(L310="Convenio Multilateral",Configuración!$B$18="Sí",FALSE()))))))))))</f>
        <v>0</v>
      </c>
      <c r="N310" s="68" t="str">
        <f>IF(M310=1,COUNTIF($M$2:M310,1),"")</f>
        <v/>
      </c>
      <c r="O310" s="50">
        <f t="shared" ca="1" si="16"/>
        <v>62</v>
      </c>
      <c r="P310" s="17" t="str">
        <f t="shared" ca="1" si="17"/>
        <v>Faltan 62 días</v>
      </c>
      <c r="Q310" s="50">
        <f t="shared" si="18"/>
        <v>46315</v>
      </c>
      <c r="R310" s="17" t="str">
        <f>IF(M310=1,COUNTIFS($Q$2:Q310,Q310,$M$2:M310,1),"")</f>
        <v/>
      </c>
      <c r="S310" s="50" t="str">
        <f t="shared" si="19"/>
        <v/>
      </c>
    </row>
    <row r="311" spans="1:19" ht="45" customHeight="1" x14ac:dyDescent="0.35">
      <c r="A311" s="66">
        <v>46315</v>
      </c>
      <c r="B311" s="67" t="s">
        <v>119</v>
      </c>
      <c r="C311" s="67" t="s">
        <v>120</v>
      </c>
      <c r="D311" s="67" t="s">
        <v>121</v>
      </c>
      <c r="E311" s="67" t="s">
        <v>90</v>
      </c>
      <c r="F311" s="67" t="s">
        <v>183</v>
      </c>
      <c r="G311" s="67" t="s">
        <v>94</v>
      </c>
      <c r="H311" s="67" t="s">
        <v>87</v>
      </c>
      <c r="I311" s="67" t="s">
        <v>50</v>
      </c>
      <c r="J311" s="67" t="s">
        <v>88</v>
      </c>
      <c r="K311" s="67"/>
      <c r="L311" s="68" t="s">
        <v>118</v>
      </c>
      <c r="M311" s="68">
        <f>--AND(Configuración!$B$6&lt;&gt;"",OR(E311="Todas",ISNUMBER(SEARCH(Configuración!$B$7,E311))),IF(L311="Monotributo",Configuración!$B$10="Sí",IF(L311="Autónomos",Configuración!$B$11="Sí",IF(L311="Responsable inscripto",Configuración!$B$12="Sí",IF(L311="Empleador",Configuración!$B$13="Sí",IF(L311="Casas particulares",Configuración!$B$14="Sí",IF(L311="Retenciones",Configuración!$B$15="Sí",IF(L311="Sociedad",Configuración!$B$16="Sí",IF(L311="Persona humana",Configuración!$B$17="Sí",IF(L311="Convenio Multilateral",Configuración!$B$18="Sí",FALSE()))))))))))</f>
        <v>0</v>
      </c>
      <c r="N311" s="68" t="str">
        <f>IF(M311=1,COUNTIF($M$2:M311,1),"")</f>
        <v/>
      </c>
      <c r="O311" s="50">
        <f t="shared" ca="1" si="16"/>
        <v>62</v>
      </c>
      <c r="P311" s="17" t="str">
        <f t="shared" ca="1" si="17"/>
        <v>Faltan 62 días</v>
      </c>
      <c r="Q311" s="50">
        <f t="shared" si="18"/>
        <v>46315</v>
      </c>
      <c r="R311" s="17" t="str">
        <f>IF(M311=1,COUNTIFS($Q$2:Q311,Q311,$M$2:M311,1),"")</f>
        <v/>
      </c>
      <c r="S311" s="50" t="str">
        <f t="shared" si="19"/>
        <v/>
      </c>
    </row>
    <row r="312" spans="1:19" ht="45" customHeight="1" x14ac:dyDescent="0.35">
      <c r="A312" s="66">
        <v>46315</v>
      </c>
      <c r="B312" s="67" t="s">
        <v>122</v>
      </c>
      <c r="C312" s="67" t="s">
        <v>123</v>
      </c>
      <c r="D312" s="67" t="s">
        <v>124</v>
      </c>
      <c r="E312" s="67" t="s">
        <v>90</v>
      </c>
      <c r="F312" s="67" t="s">
        <v>183</v>
      </c>
      <c r="G312" s="67" t="s">
        <v>109</v>
      </c>
      <c r="H312" s="67" t="s">
        <v>87</v>
      </c>
      <c r="I312" s="67" t="s">
        <v>50</v>
      </c>
      <c r="J312" s="67" t="s">
        <v>88</v>
      </c>
      <c r="K312" s="67" t="s">
        <v>125</v>
      </c>
      <c r="L312" s="68" t="s">
        <v>118</v>
      </c>
      <c r="M312" s="68">
        <f>--AND(Configuración!$B$6&lt;&gt;"",OR(E312="Todas",ISNUMBER(SEARCH(Configuración!$B$7,E312))),IF(L312="Monotributo",Configuración!$B$10="Sí",IF(L312="Autónomos",Configuración!$B$11="Sí",IF(L312="Responsable inscripto",Configuración!$B$12="Sí",IF(L312="Empleador",Configuración!$B$13="Sí",IF(L312="Casas particulares",Configuración!$B$14="Sí",IF(L312="Retenciones",Configuración!$B$15="Sí",IF(L312="Sociedad",Configuración!$B$16="Sí",IF(L312="Persona humana",Configuración!$B$17="Sí",IF(L312="Convenio Multilateral",Configuración!$B$18="Sí",FALSE()))))))))))</f>
        <v>0</v>
      </c>
      <c r="N312" s="68" t="str">
        <f>IF(M312=1,COUNTIF($M$2:M312,1),"")</f>
        <v/>
      </c>
      <c r="O312" s="50">
        <f t="shared" ca="1" si="16"/>
        <v>62</v>
      </c>
      <c r="P312" s="17" t="str">
        <f t="shared" ca="1" si="17"/>
        <v>Faltan 62 días</v>
      </c>
      <c r="Q312" s="50">
        <f t="shared" si="18"/>
        <v>46315</v>
      </c>
      <c r="R312" s="17" t="str">
        <f>IF(M312=1,COUNTIFS($Q$2:Q312,Q312,$M$2:M312,1),"")</f>
        <v/>
      </c>
      <c r="S312" s="50" t="str">
        <f t="shared" si="19"/>
        <v/>
      </c>
    </row>
    <row r="313" spans="1:19" ht="30" customHeight="1" x14ac:dyDescent="0.35">
      <c r="A313" s="66">
        <v>46315</v>
      </c>
      <c r="B313" s="67" t="s">
        <v>24</v>
      </c>
      <c r="C313" s="67" t="s">
        <v>126</v>
      </c>
      <c r="D313" s="67" t="s">
        <v>127</v>
      </c>
      <c r="E313" s="67" t="s">
        <v>104</v>
      </c>
      <c r="F313" s="67" t="s">
        <v>185</v>
      </c>
      <c r="G313" s="67" t="s">
        <v>86</v>
      </c>
      <c r="H313" s="67" t="s">
        <v>87</v>
      </c>
      <c r="I313" s="67" t="s">
        <v>50</v>
      </c>
      <c r="J313" s="67" t="s">
        <v>129</v>
      </c>
      <c r="K313" s="67" t="s">
        <v>130</v>
      </c>
      <c r="L313" s="68" t="s">
        <v>24</v>
      </c>
      <c r="M313" s="68">
        <f>--AND(Configuración!$B$6&lt;&gt;"",OR(E313="Todas",ISNUMBER(SEARCH(Configuración!$B$7,E313))),IF(L313="Monotributo",Configuración!$B$10="Sí",IF(L313="Autónomos",Configuración!$B$11="Sí",IF(L313="Responsable inscripto",Configuración!$B$12="Sí",IF(L313="Empleador",Configuración!$B$13="Sí",IF(L313="Casas particulares",Configuración!$B$14="Sí",IF(L313="Retenciones",Configuración!$B$15="Sí",IF(L313="Sociedad",Configuración!$B$16="Sí",IF(L313="Persona humana",Configuración!$B$17="Sí",IF(L313="Convenio Multilateral",Configuración!$B$18="Sí",FALSE()))))))))))</f>
        <v>0</v>
      </c>
      <c r="N313" s="68" t="str">
        <f>IF(M313=1,COUNTIF($M$2:M313,1),"")</f>
        <v/>
      </c>
      <c r="O313" s="50">
        <f t="shared" ca="1" si="16"/>
        <v>62</v>
      </c>
      <c r="P313" s="17" t="str">
        <f t="shared" ca="1" si="17"/>
        <v>Faltan 62 días</v>
      </c>
      <c r="Q313" s="50">
        <f t="shared" si="18"/>
        <v>46315</v>
      </c>
      <c r="R313" s="17" t="str">
        <f>IF(M313=1,COUNTIFS($Q$2:Q313,Q313,$M$2:M313,1),"")</f>
        <v/>
      </c>
      <c r="S313" s="50" t="str">
        <f t="shared" si="19"/>
        <v/>
      </c>
    </row>
    <row r="314" spans="1:19" ht="45" customHeight="1" x14ac:dyDescent="0.35">
      <c r="A314" s="66">
        <v>46315.625</v>
      </c>
      <c r="B314" s="67" t="s">
        <v>137</v>
      </c>
      <c r="C314" s="67" t="s">
        <v>138</v>
      </c>
      <c r="D314" s="67" t="s">
        <v>139</v>
      </c>
      <c r="E314" s="67" t="s">
        <v>147</v>
      </c>
      <c r="F314" s="67" t="s">
        <v>184</v>
      </c>
      <c r="G314" s="67" t="s">
        <v>94</v>
      </c>
      <c r="H314" s="67" t="s">
        <v>142</v>
      </c>
      <c r="I314" s="67" t="s">
        <v>50</v>
      </c>
      <c r="J314" s="67" t="s">
        <v>150</v>
      </c>
      <c r="K314" s="67" t="s">
        <v>151</v>
      </c>
      <c r="L314" s="68" t="s">
        <v>33</v>
      </c>
      <c r="M314" s="68">
        <f>--AND(Configuración!$B$6&lt;&gt;"",OR(E314="Todas",ISNUMBER(SEARCH(Configuración!$B$7,E314))),IF(L314="Monotributo",Configuración!$B$10="Sí",IF(L314="Autónomos",Configuración!$B$11="Sí",IF(L314="Responsable inscripto",Configuración!$B$12="Sí",IF(L314="Empleador",Configuración!$B$13="Sí",IF(L314="Casas particulares",Configuración!$B$14="Sí",IF(L314="Retenciones",Configuración!$B$15="Sí",IF(L314="Sociedad",Configuración!$B$16="Sí",IF(L314="Persona humana",Configuración!$B$17="Sí",IF(L314="Convenio Multilateral",Configuración!$B$18="Sí",FALSE()))))))))))</f>
        <v>0</v>
      </c>
      <c r="N314" s="68" t="str">
        <f>IF(M314=1,COUNTIF($M$2:M314,1),"")</f>
        <v/>
      </c>
      <c r="O314" s="50">
        <f t="shared" ca="1" si="16"/>
        <v>62</v>
      </c>
      <c r="P314" s="17" t="str">
        <f t="shared" ca="1" si="17"/>
        <v>Faltan 62 días</v>
      </c>
      <c r="Q314" s="50">
        <f t="shared" si="18"/>
        <v>46315</v>
      </c>
      <c r="R314" s="17" t="str">
        <f>IF(M314=1,COUNTIFS($Q$2:Q314,Q314,$M$2:M314,1),"")</f>
        <v/>
      </c>
      <c r="S314" s="50" t="str">
        <f t="shared" si="19"/>
        <v/>
      </c>
    </row>
    <row r="315" spans="1:19" ht="45" customHeight="1" x14ac:dyDescent="0.35">
      <c r="A315" s="66">
        <v>46329</v>
      </c>
      <c r="B315" s="67" t="s">
        <v>26</v>
      </c>
      <c r="C315" s="67" t="s">
        <v>82</v>
      </c>
      <c r="D315" s="67" t="s">
        <v>83</v>
      </c>
      <c r="E315" s="67" t="s">
        <v>84</v>
      </c>
      <c r="F315" s="67" t="s">
        <v>185</v>
      </c>
      <c r="G315" s="67" t="s">
        <v>86</v>
      </c>
      <c r="H315" s="67" t="s">
        <v>87</v>
      </c>
      <c r="I315" s="67" t="s">
        <v>50</v>
      </c>
      <c r="J315" s="67" t="s">
        <v>88</v>
      </c>
      <c r="K315" s="67"/>
      <c r="L315" s="68" t="s">
        <v>26</v>
      </c>
      <c r="M315" s="68">
        <f>--AND(Configuración!$B$6&lt;&gt;"",OR(E315="Todas",ISNUMBER(SEARCH(Configuración!$B$7,E315))),IF(L315="Monotributo",Configuración!$B$10="Sí",IF(L315="Autónomos",Configuración!$B$11="Sí",IF(L315="Responsable inscripto",Configuración!$B$12="Sí",IF(L315="Empleador",Configuración!$B$13="Sí",IF(L315="Casas particulares",Configuración!$B$14="Sí",IF(L315="Retenciones",Configuración!$B$15="Sí",IF(L315="Sociedad",Configuración!$B$16="Sí",IF(L315="Persona humana",Configuración!$B$17="Sí",IF(L315="Convenio Multilateral",Configuración!$B$18="Sí",FALSE()))))))))))</f>
        <v>0</v>
      </c>
      <c r="N315" s="68" t="str">
        <f>IF(M315=1,COUNTIF($M$2:M315,1),"")</f>
        <v/>
      </c>
      <c r="O315" s="50">
        <f t="shared" ca="1" si="16"/>
        <v>76</v>
      </c>
      <c r="P315" s="17" t="str">
        <f t="shared" ca="1" si="17"/>
        <v>Faltan 76 días</v>
      </c>
      <c r="Q315" s="50">
        <f t="shared" si="18"/>
        <v>46329</v>
      </c>
      <c r="R315" s="17" t="str">
        <f>IF(M315=1,COUNTIFS($Q$2:Q315,Q315,$M$2:M315,1),"")</f>
        <v/>
      </c>
      <c r="S315" s="50" t="str">
        <f t="shared" si="19"/>
        <v/>
      </c>
    </row>
    <row r="316" spans="1:19" ht="45" customHeight="1" x14ac:dyDescent="0.35">
      <c r="A316" s="66">
        <v>46330</v>
      </c>
      <c r="B316" s="67" t="s">
        <v>26</v>
      </c>
      <c r="C316" s="67" t="s">
        <v>82</v>
      </c>
      <c r="D316" s="67" t="s">
        <v>83</v>
      </c>
      <c r="E316" s="67" t="s">
        <v>89</v>
      </c>
      <c r="F316" s="67" t="s">
        <v>185</v>
      </c>
      <c r="G316" s="67" t="s">
        <v>86</v>
      </c>
      <c r="H316" s="67" t="s">
        <v>87</v>
      </c>
      <c r="I316" s="67" t="s">
        <v>50</v>
      </c>
      <c r="J316" s="67" t="s">
        <v>88</v>
      </c>
      <c r="K316" s="67"/>
      <c r="L316" s="68" t="s">
        <v>26</v>
      </c>
      <c r="M316" s="68">
        <f>--AND(Configuración!$B$6&lt;&gt;"",OR(E316="Todas",ISNUMBER(SEARCH(Configuración!$B$7,E316))),IF(L316="Monotributo",Configuración!$B$10="Sí",IF(L316="Autónomos",Configuración!$B$11="Sí",IF(L316="Responsable inscripto",Configuración!$B$12="Sí",IF(L316="Empleador",Configuración!$B$13="Sí",IF(L316="Casas particulares",Configuración!$B$14="Sí",IF(L316="Retenciones",Configuración!$B$15="Sí",IF(L316="Sociedad",Configuración!$B$16="Sí",IF(L316="Persona humana",Configuración!$B$17="Sí",IF(L316="Convenio Multilateral",Configuración!$B$18="Sí",FALSE()))))))))))</f>
        <v>0</v>
      </c>
      <c r="N316" s="68" t="str">
        <f>IF(M316=1,COUNTIF($M$2:M316,1),"")</f>
        <v/>
      </c>
      <c r="O316" s="50">
        <f t="shared" ca="1" si="16"/>
        <v>77</v>
      </c>
      <c r="P316" s="17" t="str">
        <f t="shared" ca="1" si="17"/>
        <v>Faltan 77 días</v>
      </c>
      <c r="Q316" s="50">
        <f t="shared" si="18"/>
        <v>46330</v>
      </c>
      <c r="R316" s="17" t="str">
        <f>IF(M316=1,COUNTIFS($Q$2:Q316,Q316,$M$2:M316,1),"")</f>
        <v/>
      </c>
      <c r="S316" s="50" t="str">
        <f t="shared" si="19"/>
        <v/>
      </c>
    </row>
    <row r="317" spans="1:19" ht="45" customHeight="1" x14ac:dyDescent="0.35">
      <c r="A317" s="66">
        <v>46330</v>
      </c>
      <c r="B317" s="67" t="s">
        <v>91</v>
      </c>
      <c r="C317" s="67" t="s">
        <v>92</v>
      </c>
      <c r="D317" s="67" t="s">
        <v>93</v>
      </c>
      <c r="E317" s="67" t="s">
        <v>84</v>
      </c>
      <c r="F317" s="67" t="s">
        <v>185</v>
      </c>
      <c r="G317" s="67" t="s">
        <v>94</v>
      </c>
      <c r="H317" s="67" t="s">
        <v>87</v>
      </c>
      <c r="I317" s="67" t="s">
        <v>50</v>
      </c>
      <c r="J317" s="67" t="s">
        <v>88</v>
      </c>
      <c r="K317" s="67"/>
      <c r="L317" s="68" t="s">
        <v>95</v>
      </c>
      <c r="M317" s="68">
        <f>--AND(Configuración!$B$6&lt;&gt;"",OR(E317="Todas",ISNUMBER(SEARCH(Configuración!$B$7,E317))),IF(L317="Monotributo",Configuración!$B$10="Sí",IF(L317="Autónomos",Configuración!$B$11="Sí",IF(L317="Responsable inscripto",Configuración!$B$12="Sí",IF(L317="Empleador",Configuración!$B$13="Sí",IF(L317="Casas particulares",Configuración!$B$14="Sí",IF(L317="Retenciones",Configuración!$B$15="Sí",IF(L317="Sociedad",Configuración!$B$16="Sí",IF(L317="Persona humana",Configuración!$B$17="Sí",IF(L317="Convenio Multilateral",Configuración!$B$18="Sí",FALSE()))))))))))</f>
        <v>0</v>
      </c>
      <c r="N317" s="68" t="str">
        <f>IF(M317=1,COUNTIF($M$2:M317,1),"")</f>
        <v/>
      </c>
      <c r="O317" s="50">
        <f t="shared" ca="1" si="16"/>
        <v>77</v>
      </c>
      <c r="P317" s="17" t="str">
        <f t="shared" ca="1" si="17"/>
        <v>Faltan 77 días</v>
      </c>
      <c r="Q317" s="50">
        <f t="shared" si="18"/>
        <v>46330</v>
      </c>
      <c r="R317" s="17" t="str">
        <f>IF(M317=1,COUNTIFS($Q$2:Q317,Q317,$M$2:M317,1),"")</f>
        <v/>
      </c>
      <c r="S317" s="50" t="str">
        <f t="shared" si="19"/>
        <v/>
      </c>
    </row>
    <row r="318" spans="1:19" ht="45" customHeight="1" x14ac:dyDescent="0.35">
      <c r="A318" s="66">
        <v>46331</v>
      </c>
      <c r="B318" s="67" t="s">
        <v>26</v>
      </c>
      <c r="C318" s="67" t="s">
        <v>82</v>
      </c>
      <c r="D318" s="67" t="s">
        <v>83</v>
      </c>
      <c r="E318" s="67" t="s">
        <v>90</v>
      </c>
      <c r="F318" s="67" t="s">
        <v>185</v>
      </c>
      <c r="G318" s="67" t="s">
        <v>86</v>
      </c>
      <c r="H318" s="67" t="s">
        <v>87</v>
      </c>
      <c r="I318" s="67" t="s">
        <v>50</v>
      </c>
      <c r="J318" s="67" t="s">
        <v>88</v>
      </c>
      <c r="K318" s="67"/>
      <c r="L318" s="68" t="s">
        <v>26</v>
      </c>
      <c r="M318" s="68">
        <f>--AND(Configuración!$B$6&lt;&gt;"",OR(E318="Todas",ISNUMBER(SEARCH(Configuración!$B$7,E318))),IF(L318="Monotributo",Configuración!$B$10="Sí",IF(L318="Autónomos",Configuración!$B$11="Sí",IF(L318="Responsable inscripto",Configuración!$B$12="Sí",IF(L318="Empleador",Configuración!$B$13="Sí",IF(L318="Casas particulares",Configuración!$B$14="Sí",IF(L318="Retenciones",Configuración!$B$15="Sí",IF(L318="Sociedad",Configuración!$B$16="Sí",IF(L318="Persona humana",Configuración!$B$17="Sí",IF(L318="Convenio Multilateral",Configuración!$B$18="Sí",FALSE()))))))))))</f>
        <v>0</v>
      </c>
      <c r="N318" s="68" t="str">
        <f>IF(M318=1,COUNTIF($M$2:M318,1),"")</f>
        <v/>
      </c>
      <c r="O318" s="50">
        <f t="shared" ca="1" si="16"/>
        <v>78</v>
      </c>
      <c r="P318" s="17" t="str">
        <f t="shared" ca="1" si="17"/>
        <v>Faltan 78 días</v>
      </c>
      <c r="Q318" s="50">
        <f t="shared" si="18"/>
        <v>46331</v>
      </c>
      <c r="R318" s="17" t="str">
        <f>IF(M318=1,COUNTIFS($Q$2:Q318,Q318,$M$2:M318,1),"")</f>
        <v/>
      </c>
      <c r="S318" s="50" t="str">
        <f t="shared" si="19"/>
        <v/>
      </c>
    </row>
    <row r="319" spans="1:19" ht="45" customHeight="1" x14ac:dyDescent="0.35">
      <c r="A319" s="66">
        <v>46331</v>
      </c>
      <c r="B319" s="67" t="s">
        <v>91</v>
      </c>
      <c r="C319" s="67" t="s">
        <v>92</v>
      </c>
      <c r="D319" s="67" t="s">
        <v>93</v>
      </c>
      <c r="E319" s="67" t="s">
        <v>89</v>
      </c>
      <c r="F319" s="67" t="s">
        <v>185</v>
      </c>
      <c r="G319" s="67" t="s">
        <v>94</v>
      </c>
      <c r="H319" s="67" t="s">
        <v>87</v>
      </c>
      <c r="I319" s="67" t="s">
        <v>50</v>
      </c>
      <c r="J319" s="67" t="s">
        <v>88</v>
      </c>
      <c r="K319" s="67"/>
      <c r="L319" s="68" t="s">
        <v>95</v>
      </c>
      <c r="M319" s="68">
        <f>--AND(Configuración!$B$6&lt;&gt;"",OR(E319="Todas",ISNUMBER(SEARCH(Configuración!$B$7,E319))),IF(L319="Monotributo",Configuración!$B$10="Sí",IF(L319="Autónomos",Configuración!$B$11="Sí",IF(L319="Responsable inscripto",Configuración!$B$12="Sí",IF(L319="Empleador",Configuración!$B$13="Sí",IF(L319="Casas particulares",Configuración!$B$14="Sí",IF(L319="Retenciones",Configuración!$B$15="Sí",IF(L319="Sociedad",Configuración!$B$16="Sí",IF(L319="Persona humana",Configuración!$B$17="Sí",IF(L319="Convenio Multilateral",Configuración!$B$18="Sí",FALSE()))))))))))</f>
        <v>0</v>
      </c>
      <c r="N319" s="68" t="str">
        <f>IF(M319=1,COUNTIF($M$2:M319,1),"")</f>
        <v/>
      </c>
      <c r="O319" s="50">
        <f t="shared" ca="1" si="16"/>
        <v>78</v>
      </c>
      <c r="P319" s="17" t="str">
        <f t="shared" ca="1" si="17"/>
        <v>Faltan 78 días</v>
      </c>
      <c r="Q319" s="50">
        <f t="shared" si="18"/>
        <v>46331</v>
      </c>
      <c r="R319" s="17" t="str">
        <f>IF(M319=1,COUNTIFS($Q$2:Q319,Q319,$M$2:M319,1),"")</f>
        <v/>
      </c>
      <c r="S319" s="50" t="str">
        <f t="shared" si="19"/>
        <v/>
      </c>
    </row>
    <row r="320" spans="1:19" ht="45" customHeight="1" x14ac:dyDescent="0.35">
      <c r="A320" s="66">
        <v>46332</v>
      </c>
      <c r="B320" s="67" t="s">
        <v>91</v>
      </c>
      <c r="C320" s="67" t="s">
        <v>92</v>
      </c>
      <c r="D320" s="67" t="s">
        <v>93</v>
      </c>
      <c r="E320" s="67" t="s">
        <v>90</v>
      </c>
      <c r="F320" s="67" t="s">
        <v>185</v>
      </c>
      <c r="G320" s="67" t="s">
        <v>94</v>
      </c>
      <c r="H320" s="67" t="s">
        <v>87</v>
      </c>
      <c r="I320" s="67" t="s">
        <v>50</v>
      </c>
      <c r="J320" s="67" t="s">
        <v>88</v>
      </c>
      <c r="K320" s="67"/>
      <c r="L320" s="68" t="s">
        <v>95</v>
      </c>
      <c r="M320" s="68">
        <f>--AND(Configuración!$B$6&lt;&gt;"",OR(E320="Todas",ISNUMBER(SEARCH(Configuración!$B$7,E320))),IF(L320="Monotributo",Configuración!$B$10="Sí",IF(L320="Autónomos",Configuración!$B$11="Sí",IF(L320="Responsable inscripto",Configuración!$B$12="Sí",IF(L320="Empleador",Configuración!$B$13="Sí",IF(L320="Casas particulares",Configuración!$B$14="Sí",IF(L320="Retenciones",Configuración!$B$15="Sí",IF(L320="Sociedad",Configuración!$B$16="Sí",IF(L320="Persona humana",Configuración!$B$17="Sí",IF(L320="Convenio Multilateral",Configuración!$B$18="Sí",FALSE()))))))))))</f>
        <v>0</v>
      </c>
      <c r="N320" s="68" t="str">
        <f>IF(M320=1,COUNTIF($M$2:M320,1),"")</f>
        <v/>
      </c>
      <c r="O320" s="50">
        <f t="shared" ca="1" si="16"/>
        <v>79</v>
      </c>
      <c r="P320" s="17" t="str">
        <f t="shared" ca="1" si="17"/>
        <v>Faltan 79 días</v>
      </c>
      <c r="Q320" s="50">
        <f t="shared" si="18"/>
        <v>46332</v>
      </c>
      <c r="R320" s="17" t="str">
        <f>IF(M320=1,COUNTIFS($Q$2:Q320,Q320,$M$2:M320,1),"")</f>
        <v/>
      </c>
      <c r="S320" s="50" t="str">
        <f t="shared" si="19"/>
        <v/>
      </c>
    </row>
    <row r="321" spans="1:19" ht="45" customHeight="1" x14ac:dyDescent="0.35">
      <c r="A321" s="66">
        <v>46335</v>
      </c>
      <c r="B321" s="67" t="s">
        <v>96</v>
      </c>
      <c r="C321" s="67" t="s">
        <v>97</v>
      </c>
      <c r="D321" s="67" t="s">
        <v>98</v>
      </c>
      <c r="E321" s="67" t="s">
        <v>84</v>
      </c>
      <c r="F321" s="67" t="s">
        <v>185</v>
      </c>
      <c r="G321" s="67" t="s">
        <v>94</v>
      </c>
      <c r="H321" s="67" t="s">
        <v>87</v>
      </c>
      <c r="I321" s="67" t="s">
        <v>50</v>
      </c>
      <c r="J321" s="67" t="s">
        <v>88</v>
      </c>
      <c r="K321" s="67"/>
      <c r="L321" s="68" t="s">
        <v>99</v>
      </c>
      <c r="M321" s="68">
        <f>--AND(Configuración!$B$6&lt;&gt;"",OR(E321="Todas",ISNUMBER(SEARCH(Configuración!$B$7,E321))),IF(L321="Monotributo",Configuración!$B$10="Sí",IF(L321="Autónomos",Configuración!$B$11="Sí",IF(L321="Responsable inscripto",Configuración!$B$12="Sí",IF(L321="Empleador",Configuración!$B$13="Sí",IF(L321="Casas particulares",Configuración!$B$14="Sí",IF(L321="Retenciones",Configuración!$B$15="Sí",IF(L321="Sociedad",Configuración!$B$16="Sí",IF(L321="Persona humana",Configuración!$B$17="Sí",IF(L321="Convenio Multilateral",Configuración!$B$18="Sí",FALSE()))))))))))</f>
        <v>0</v>
      </c>
      <c r="N321" s="68" t="str">
        <f>IF(M321=1,COUNTIF($M$2:M321,1),"")</f>
        <v/>
      </c>
      <c r="O321" s="50">
        <f t="shared" ca="1" si="16"/>
        <v>82</v>
      </c>
      <c r="P321" s="17" t="str">
        <f t="shared" ca="1" si="17"/>
        <v>Faltan 82 días</v>
      </c>
      <c r="Q321" s="50">
        <f t="shared" si="18"/>
        <v>46335</v>
      </c>
      <c r="R321" s="17" t="str">
        <f>IF(M321=1,COUNTIFS($Q$2:Q321,Q321,$M$2:M321,1),"")</f>
        <v/>
      </c>
      <c r="S321" s="50" t="str">
        <f t="shared" si="19"/>
        <v/>
      </c>
    </row>
    <row r="322" spans="1:19" ht="45" customHeight="1" x14ac:dyDescent="0.35">
      <c r="A322" s="66">
        <v>46335</v>
      </c>
      <c r="B322" s="67" t="s">
        <v>96</v>
      </c>
      <c r="C322" s="67" t="s">
        <v>97</v>
      </c>
      <c r="D322" s="67" t="s">
        <v>98</v>
      </c>
      <c r="E322" s="67" t="s">
        <v>89</v>
      </c>
      <c r="F322" s="67" t="s">
        <v>185</v>
      </c>
      <c r="G322" s="67" t="s">
        <v>94</v>
      </c>
      <c r="H322" s="67" t="s">
        <v>87</v>
      </c>
      <c r="I322" s="67" t="s">
        <v>50</v>
      </c>
      <c r="J322" s="67" t="s">
        <v>88</v>
      </c>
      <c r="K322" s="67"/>
      <c r="L322" s="68" t="s">
        <v>99</v>
      </c>
      <c r="M322" s="68">
        <f>--AND(Configuración!$B$6&lt;&gt;"",OR(E322="Todas",ISNUMBER(SEARCH(Configuración!$B$7,E322))),IF(L322="Monotributo",Configuración!$B$10="Sí",IF(L322="Autónomos",Configuración!$B$11="Sí",IF(L322="Responsable inscripto",Configuración!$B$12="Sí",IF(L322="Empleador",Configuración!$B$13="Sí",IF(L322="Casas particulares",Configuración!$B$14="Sí",IF(L322="Retenciones",Configuración!$B$15="Sí",IF(L322="Sociedad",Configuración!$B$16="Sí",IF(L322="Persona humana",Configuración!$B$17="Sí",IF(L322="Convenio Multilateral",Configuración!$B$18="Sí",FALSE()))))))))))</f>
        <v>0</v>
      </c>
      <c r="N322" s="68" t="str">
        <f>IF(M322=1,COUNTIF($M$2:M322,1),"")</f>
        <v/>
      </c>
      <c r="O322" s="50">
        <f t="shared" ref="O322:O376" ca="1" si="20">IFERROR(INT(A322)-TODAY(),"")</f>
        <v>82</v>
      </c>
      <c r="P322" s="17" t="str">
        <f t="shared" ref="P322:P385" ca="1" si="21">IF(A322="","",IF(O322&lt;0,"Vencido hace "&amp;-O322&amp;IF(O322=-1," día"," días"),IF(O322=0,"Vence hoy",IF(O322=1,"Vence mañana","Faltan "&amp;O322&amp;" días"))))</f>
        <v>Faltan 82 días</v>
      </c>
      <c r="Q322" s="50">
        <f t="shared" ref="Q322:Q376" si="22">IF(A322="","",INT(A322))</f>
        <v>46335</v>
      </c>
      <c r="R322" s="17" t="str">
        <f>IF(M322=1,COUNTIFS($Q$2:Q322,Q322,$M$2:M322,1),"")</f>
        <v/>
      </c>
      <c r="S322" s="50" t="str">
        <f t="shared" ref="S322:S385" si="23">IF(M322=1,Q322*10+R322,"")</f>
        <v/>
      </c>
    </row>
    <row r="323" spans="1:19" ht="45" customHeight="1" x14ac:dyDescent="0.35">
      <c r="A323" s="66">
        <v>46335</v>
      </c>
      <c r="B323" s="67" t="s">
        <v>96</v>
      </c>
      <c r="C323" s="67" t="s">
        <v>97</v>
      </c>
      <c r="D323" s="67" t="s">
        <v>98</v>
      </c>
      <c r="E323" s="67" t="s">
        <v>90</v>
      </c>
      <c r="F323" s="67" t="s">
        <v>185</v>
      </c>
      <c r="G323" s="67" t="s">
        <v>94</v>
      </c>
      <c r="H323" s="67" t="s">
        <v>87</v>
      </c>
      <c r="I323" s="67" t="s">
        <v>50</v>
      </c>
      <c r="J323" s="67" t="s">
        <v>88</v>
      </c>
      <c r="K323" s="67"/>
      <c r="L323" s="68" t="s">
        <v>99</v>
      </c>
      <c r="M323" s="68">
        <f>--AND(Configuración!$B$6&lt;&gt;"",OR(E323="Todas",ISNUMBER(SEARCH(Configuración!$B$7,E323))),IF(L323="Monotributo",Configuración!$B$10="Sí",IF(L323="Autónomos",Configuración!$B$11="Sí",IF(L323="Responsable inscripto",Configuración!$B$12="Sí",IF(L323="Empleador",Configuración!$B$13="Sí",IF(L323="Casas particulares",Configuración!$B$14="Sí",IF(L323="Retenciones",Configuración!$B$15="Sí",IF(L323="Sociedad",Configuración!$B$16="Sí",IF(L323="Persona humana",Configuración!$B$17="Sí",IF(L323="Convenio Multilateral",Configuración!$B$18="Sí",FALSE()))))))))))</f>
        <v>0</v>
      </c>
      <c r="N323" s="68" t="str">
        <f>IF(M323=1,COUNTIF($M$2:M323,1),"")</f>
        <v/>
      </c>
      <c r="O323" s="50">
        <f t="shared" ca="1" si="20"/>
        <v>82</v>
      </c>
      <c r="P323" s="17" t="str">
        <f t="shared" ca="1" si="21"/>
        <v>Faltan 82 días</v>
      </c>
      <c r="Q323" s="50">
        <f t="shared" si="22"/>
        <v>46335</v>
      </c>
      <c r="R323" s="17" t="str">
        <f>IF(M323=1,COUNTIFS($Q$2:Q323,Q323,$M$2:M323,1),"")</f>
        <v/>
      </c>
      <c r="S323" s="50" t="str">
        <f t="shared" si="23"/>
        <v/>
      </c>
    </row>
    <row r="324" spans="1:19" ht="45" customHeight="1" x14ac:dyDescent="0.35">
      <c r="A324" s="66">
        <v>46335</v>
      </c>
      <c r="B324" s="67" t="s">
        <v>100</v>
      </c>
      <c r="C324" s="67" t="s">
        <v>101</v>
      </c>
      <c r="D324" s="67" t="s">
        <v>93</v>
      </c>
      <c r="E324" s="67" t="s">
        <v>84</v>
      </c>
      <c r="F324" s="67" t="s">
        <v>185</v>
      </c>
      <c r="G324" s="67" t="s">
        <v>94</v>
      </c>
      <c r="H324" s="67" t="s">
        <v>87</v>
      </c>
      <c r="I324" s="67" t="s">
        <v>50</v>
      </c>
      <c r="J324" s="67" t="s">
        <v>88</v>
      </c>
      <c r="K324" s="67"/>
      <c r="L324" s="68" t="s">
        <v>95</v>
      </c>
      <c r="M324" s="68">
        <f>--AND(Configuración!$B$6&lt;&gt;"",OR(E324="Todas",ISNUMBER(SEARCH(Configuración!$B$7,E324))),IF(L324="Monotributo",Configuración!$B$10="Sí",IF(L324="Autónomos",Configuración!$B$11="Sí",IF(L324="Responsable inscripto",Configuración!$B$12="Sí",IF(L324="Empleador",Configuración!$B$13="Sí",IF(L324="Casas particulares",Configuración!$B$14="Sí",IF(L324="Retenciones",Configuración!$B$15="Sí",IF(L324="Sociedad",Configuración!$B$16="Sí",IF(L324="Persona humana",Configuración!$B$17="Sí",IF(L324="Convenio Multilateral",Configuración!$B$18="Sí",FALSE()))))))))))</f>
        <v>0</v>
      </c>
      <c r="N324" s="68" t="str">
        <f>IF(M324=1,COUNTIF($M$2:M324,1),"")</f>
        <v/>
      </c>
      <c r="O324" s="50">
        <f t="shared" ca="1" si="20"/>
        <v>82</v>
      </c>
      <c r="P324" s="17" t="str">
        <f t="shared" ca="1" si="21"/>
        <v>Faltan 82 días</v>
      </c>
      <c r="Q324" s="50">
        <f t="shared" si="22"/>
        <v>46335</v>
      </c>
      <c r="R324" s="17" t="str">
        <f>IF(M324=1,COUNTIFS($Q$2:Q324,Q324,$M$2:M324,1),"")</f>
        <v/>
      </c>
      <c r="S324" s="50" t="str">
        <f t="shared" si="23"/>
        <v/>
      </c>
    </row>
    <row r="325" spans="1:19" ht="45" customHeight="1" x14ac:dyDescent="0.35">
      <c r="A325" s="66">
        <v>46336</v>
      </c>
      <c r="B325" s="67" t="s">
        <v>29</v>
      </c>
      <c r="C325" s="67" t="s">
        <v>102</v>
      </c>
      <c r="D325" s="67" t="s">
        <v>103</v>
      </c>
      <c r="E325" s="67" t="s">
        <v>104</v>
      </c>
      <c r="F325" s="67" t="s">
        <v>185</v>
      </c>
      <c r="G325" s="67" t="s">
        <v>86</v>
      </c>
      <c r="H325" s="67" t="s">
        <v>87</v>
      </c>
      <c r="I325" s="67" t="s">
        <v>50</v>
      </c>
      <c r="J325" s="67" t="s">
        <v>88</v>
      </c>
      <c r="K325" s="67"/>
      <c r="L325" s="68" t="s">
        <v>29</v>
      </c>
      <c r="M325" s="68">
        <f>--AND(Configuración!$B$6&lt;&gt;"",OR(E325="Todas",ISNUMBER(SEARCH(Configuración!$B$7,E325))),IF(L325="Monotributo",Configuración!$B$10="Sí",IF(L325="Autónomos",Configuración!$B$11="Sí",IF(L325="Responsable inscripto",Configuración!$B$12="Sí",IF(L325="Empleador",Configuración!$B$13="Sí",IF(L325="Casas particulares",Configuración!$B$14="Sí",IF(L325="Retenciones",Configuración!$B$15="Sí",IF(L325="Sociedad",Configuración!$B$16="Sí",IF(L325="Persona humana",Configuración!$B$17="Sí",IF(L325="Convenio Multilateral",Configuración!$B$18="Sí",FALSE()))))))))))</f>
        <v>0</v>
      </c>
      <c r="N325" s="68" t="str">
        <f>IF(M325=1,COUNTIF($M$2:M325,1),"")</f>
        <v/>
      </c>
      <c r="O325" s="50">
        <f t="shared" ca="1" si="20"/>
        <v>83</v>
      </c>
      <c r="P325" s="17" t="str">
        <f t="shared" ca="1" si="21"/>
        <v>Faltan 83 días</v>
      </c>
      <c r="Q325" s="50">
        <f t="shared" si="22"/>
        <v>46336</v>
      </c>
      <c r="R325" s="17" t="str">
        <f>IF(M325=1,COUNTIFS($Q$2:Q325,Q325,$M$2:M325,1),"")</f>
        <v/>
      </c>
      <c r="S325" s="50" t="str">
        <f t="shared" si="23"/>
        <v/>
      </c>
    </row>
    <row r="326" spans="1:19" ht="45" customHeight="1" x14ac:dyDescent="0.35">
      <c r="A326" s="66">
        <v>46336</v>
      </c>
      <c r="B326" s="67" t="s">
        <v>100</v>
      </c>
      <c r="C326" s="67" t="s">
        <v>101</v>
      </c>
      <c r="D326" s="67" t="s">
        <v>93</v>
      </c>
      <c r="E326" s="67" t="s">
        <v>89</v>
      </c>
      <c r="F326" s="67" t="s">
        <v>185</v>
      </c>
      <c r="G326" s="67" t="s">
        <v>94</v>
      </c>
      <c r="H326" s="67" t="s">
        <v>87</v>
      </c>
      <c r="I326" s="67" t="s">
        <v>50</v>
      </c>
      <c r="J326" s="67" t="s">
        <v>88</v>
      </c>
      <c r="K326" s="67"/>
      <c r="L326" s="68" t="s">
        <v>95</v>
      </c>
      <c r="M326" s="68">
        <f>--AND(Configuración!$B$6&lt;&gt;"",OR(E326="Todas",ISNUMBER(SEARCH(Configuración!$B$7,E326))),IF(L326="Monotributo",Configuración!$B$10="Sí",IF(L326="Autónomos",Configuración!$B$11="Sí",IF(L326="Responsable inscripto",Configuración!$B$12="Sí",IF(L326="Empleador",Configuración!$B$13="Sí",IF(L326="Casas particulares",Configuración!$B$14="Sí",IF(L326="Retenciones",Configuración!$B$15="Sí",IF(L326="Sociedad",Configuración!$B$16="Sí",IF(L326="Persona humana",Configuración!$B$17="Sí",IF(L326="Convenio Multilateral",Configuración!$B$18="Sí",FALSE()))))))))))</f>
        <v>0</v>
      </c>
      <c r="N326" s="68" t="str">
        <f>IF(M326=1,COUNTIF($M$2:M326,1),"")</f>
        <v/>
      </c>
      <c r="O326" s="50">
        <f t="shared" ca="1" si="20"/>
        <v>83</v>
      </c>
      <c r="P326" s="17" t="str">
        <f t="shared" ca="1" si="21"/>
        <v>Faltan 83 días</v>
      </c>
      <c r="Q326" s="50">
        <f t="shared" si="22"/>
        <v>46336</v>
      </c>
      <c r="R326" s="17" t="str">
        <f>IF(M326=1,COUNTIFS($Q$2:Q326,Q326,$M$2:M326,1),"")</f>
        <v/>
      </c>
      <c r="S326" s="50" t="str">
        <f t="shared" si="23"/>
        <v/>
      </c>
    </row>
    <row r="327" spans="1:19" ht="45" customHeight="1" x14ac:dyDescent="0.35">
      <c r="A327" s="66">
        <v>46337</v>
      </c>
      <c r="B327" s="67" t="s">
        <v>100</v>
      </c>
      <c r="C327" s="67" t="s">
        <v>101</v>
      </c>
      <c r="D327" s="67" t="s">
        <v>93</v>
      </c>
      <c r="E327" s="67" t="s">
        <v>90</v>
      </c>
      <c r="F327" s="67" t="s">
        <v>185</v>
      </c>
      <c r="G327" s="67" t="s">
        <v>94</v>
      </c>
      <c r="H327" s="67" t="s">
        <v>87</v>
      </c>
      <c r="I327" s="67" t="s">
        <v>50</v>
      </c>
      <c r="J327" s="67" t="s">
        <v>88</v>
      </c>
      <c r="K327" s="67"/>
      <c r="L327" s="68" t="s">
        <v>95</v>
      </c>
      <c r="M327" s="68">
        <f>--AND(Configuración!$B$6&lt;&gt;"",OR(E327="Todas",ISNUMBER(SEARCH(Configuración!$B$7,E327))),IF(L327="Monotributo",Configuración!$B$10="Sí",IF(L327="Autónomos",Configuración!$B$11="Sí",IF(L327="Responsable inscripto",Configuración!$B$12="Sí",IF(L327="Empleador",Configuración!$B$13="Sí",IF(L327="Casas particulares",Configuración!$B$14="Sí",IF(L327="Retenciones",Configuración!$B$15="Sí",IF(L327="Sociedad",Configuración!$B$16="Sí",IF(L327="Persona humana",Configuración!$B$17="Sí",IF(L327="Convenio Multilateral",Configuración!$B$18="Sí",FALSE()))))))))))</f>
        <v>0</v>
      </c>
      <c r="N327" s="68" t="str">
        <f>IF(M327=1,COUNTIF($M$2:M327,1),"")</f>
        <v/>
      </c>
      <c r="O327" s="50">
        <f t="shared" ca="1" si="20"/>
        <v>84</v>
      </c>
      <c r="P327" s="17" t="str">
        <f t="shared" ca="1" si="21"/>
        <v>Faltan 84 días</v>
      </c>
      <c r="Q327" s="50">
        <f t="shared" si="22"/>
        <v>46337</v>
      </c>
      <c r="R327" s="17" t="str">
        <f>IF(M327=1,COUNTIFS($Q$2:Q327,Q327,$M$2:M327,1),"")</f>
        <v/>
      </c>
      <c r="S327" s="50" t="str">
        <f t="shared" si="23"/>
        <v/>
      </c>
    </row>
    <row r="328" spans="1:19" ht="45" customHeight="1" x14ac:dyDescent="0.35">
      <c r="A328" s="66">
        <v>46339.625</v>
      </c>
      <c r="B328" s="67" t="s">
        <v>105</v>
      </c>
      <c r="C328" s="67" t="s">
        <v>106</v>
      </c>
      <c r="D328" s="67" t="s">
        <v>107</v>
      </c>
      <c r="E328" s="67" t="s">
        <v>84</v>
      </c>
      <c r="F328" s="67" t="s">
        <v>164</v>
      </c>
      <c r="G328" s="67" t="s">
        <v>109</v>
      </c>
      <c r="H328" s="67" t="s">
        <v>87</v>
      </c>
      <c r="I328" s="67" t="s">
        <v>50</v>
      </c>
      <c r="J328" s="67" t="s">
        <v>110</v>
      </c>
      <c r="K328" s="67" t="s">
        <v>111</v>
      </c>
      <c r="L328" s="68" t="s">
        <v>112</v>
      </c>
      <c r="M328" s="68">
        <f>--AND(Configuración!$B$6&lt;&gt;"",OR(E328="Todas",ISNUMBER(SEARCH(Configuración!$B$7,E328))),IF(L328="Monotributo",Configuración!$B$10="Sí",IF(L328="Autónomos",Configuración!$B$11="Sí",IF(L328="Responsable inscripto",Configuración!$B$12="Sí",IF(L328="Empleador",Configuración!$B$13="Sí",IF(L328="Casas particulares",Configuración!$B$14="Sí",IF(L328="Retenciones",Configuración!$B$15="Sí",IF(L328="Sociedad",Configuración!$B$16="Sí",IF(L328="Persona humana",Configuración!$B$17="Sí",IF(L328="Convenio Multilateral",Configuración!$B$18="Sí",FALSE()))))))))))</f>
        <v>0</v>
      </c>
      <c r="N328" s="68" t="str">
        <f>IF(M328=1,COUNTIF($M$2:M328,1),"")</f>
        <v/>
      </c>
      <c r="O328" s="50">
        <f t="shared" ca="1" si="20"/>
        <v>86</v>
      </c>
      <c r="P328" s="17" t="str">
        <f t="shared" ca="1" si="21"/>
        <v>Faltan 86 días</v>
      </c>
      <c r="Q328" s="50">
        <f t="shared" si="22"/>
        <v>46339</v>
      </c>
      <c r="R328" s="17" t="str">
        <f>IF(M328=1,COUNTIFS($Q$2:Q328,Q328,$M$2:M328,1),"")</f>
        <v/>
      </c>
      <c r="S328" s="50" t="str">
        <f t="shared" si="23"/>
        <v/>
      </c>
    </row>
    <row r="329" spans="1:19" ht="45" customHeight="1" x14ac:dyDescent="0.35">
      <c r="A329" s="66">
        <v>46339.625</v>
      </c>
      <c r="B329" s="67" t="s">
        <v>137</v>
      </c>
      <c r="C329" s="67" t="s">
        <v>138</v>
      </c>
      <c r="D329" s="67" t="s">
        <v>139</v>
      </c>
      <c r="E329" s="67" t="s">
        <v>140</v>
      </c>
      <c r="F329" s="67" t="s">
        <v>186</v>
      </c>
      <c r="G329" s="67" t="s">
        <v>94</v>
      </c>
      <c r="H329" s="67" t="s">
        <v>142</v>
      </c>
      <c r="I329" s="67" t="s">
        <v>50</v>
      </c>
      <c r="J329" s="67" t="s">
        <v>150</v>
      </c>
      <c r="K329" s="67" t="s">
        <v>151</v>
      </c>
      <c r="L329" s="68" t="s">
        <v>33</v>
      </c>
      <c r="M329" s="68">
        <f>--AND(Configuración!$B$6&lt;&gt;"",OR(E329="Todas",ISNUMBER(SEARCH(Configuración!$B$7,E329))),IF(L329="Monotributo",Configuración!$B$10="Sí",IF(L329="Autónomos",Configuración!$B$11="Sí",IF(L329="Responsable inscripto",Configuración!$B$12="Sí",IF(L329="Empleador",Configuración!$B$13="Sí",IF(L329="Casas particulares",Configuración!$B$14="Sí",IF(L329="Retenciones",Configuración!$B$15="Sí",IF(L329="Sociedad",Configuración!$B$16="Sí",IF(L329="Persona humana",Configuración!$B$17="Sí",IF(L329="Convenio Multilateral",Configuración!$B$18="Sí",FALSE()))))))))))</f>
        <v>0</v>
      </c>
      <c r="N329" s="68" t="str">
        <f>IF(M329=1,COUNTIF($M$2:M329,1),"")</f>
        <v/>
      </c>
      <c r="O329" s="50">
        <f t="shared" ca="1" si="20"/>
        <v>86</v>
      </c>
      <c r="P329" s="17" t="str">
        <f t="shared" ca="1" si="21"/>
        <v>Faltan 86 días</v>
      </c>
      <c r="Q329" s="50">
        <f t="shared" si="22"/>
        <v>46339</v>
      </c>
      <c r="R329" s="17" t="str">
        <f>IF(M329=1,COUNTIFS($Q$2:Q329,Q329,$M$2:M329,1),"")</f>
        <v/>
      </c>
      <c r="S329" s="50" t="str">
        <f t="shared" si="23"/>
        <v/>
      </c>
    </row>
    <row r="330" spans="1:19" ht="45" customHeight="1" x14ac:dyDescent="0.35">
      <c r="A330" s="66">
        <v>46342</v>
      </c>
      <c r="B330" s="67" t="s">
        <v>29</v>
      </c>
      <c r="C330" s="67" t="s">
        <v>113</v>
      </c>
      <c r="D330" s="67" t="s">
        <v>114</v>
      </c>
      <c r="E330" s="67" t="s">
        <v>104</v>
      </c>
      <c r="F330" s="67" t="s">
        <v>185</v>
      </c>
      <c r="G330" s="67" t="s">
        <v>86</v>
      </c>
      <c r="H330" s="67" t="s">
        <v>87</v>
      </c>
      <c r="I330" s="67" t="s">
        <v>50</v>
      </c>
      <c r="J330" s="67" t="s">
        <v>88</v>
      </c>
      <c r="K330" s="67"/>
      <c r="L330" s="68" t="s">
        <v>29</v>
      </c>
      <c r="M330" s="68">
        <f>--AND(Configuración!$B$6&lt;&gt;"",OR(E330="Todas",ISNUMBER(SEARCH(Configuración!$B$7,E330))),IF(L330="Monotributo",Configuración!$B$10="Sí",IF(L330="Autónomos",Configuración!$B$11="Sí",IF(L330="Responsable inscripto",Configuración!$B$12="Sí",IF(L330="Empleador",Configuración!$B$13="Sí",IF(L330="Casas particulares",Configuración!$B$14="Sí",IF(L330="Retenciones",Configuración!$B$15="Sí",IF(L330="Sociedad",Configuración!$B$16="Sí",IF(L330="Persona humana",Configuración!$B$17="Sí",IF(L330="Convenio Multilateral",Configuración!$B$18="Sí",FALSE()))))))))))</f>
        <v>0</v>
      </c>
      <c r="N330" s="68" t="str">
        <f>IF(M330=1,COUNTIF($M$2:M330,1),"")</f>
        <v/>
      </c>
      <c r="O330" s="50">
        <f t="shared" ca="1" si="20"/>
        <v>89</v>
      </c>
      <c r="P330" s="17" t="str">
        <f t="shared" ca="1" si="21"/>
        <v>Faltan 89 días</v>
      </c>
      <c r="Q330" s="50">
        <f t="shared" si="22"/>
        <v>46342</v>
      </c>
      <c r="R330" s="17" t="str">
        <f>IF(M330=1,COUNTIFS($Q$2:Q330,Q330,$M$2:M330,1),"")</f>
        <v/>
      </c>
      <c r="S330" s="50" t="str">
        <f t="shared" si="23"/>
        <v/>
      </c>
    </row>
    <row r="331" spans="1:19" ht="45" customHeight="1" x14ac:dyDescent="0.35">
      <c r="A331" s="66">
        <v>46342.625</v>
      </c>
      <c r="B331" s="67" t="s">
        <v>105</v>
      </c>
      <c r="C331" s="67" t="s">
        <v>106</v>
      </c>
      <c r="D331" s="67" t="s">
        <v>107</v>
      </c>
      <c r="E331" s="67" t="s">
        <v>89</v>
      </c>
      <c r="F331" s="67" t="s">
        <v>164</v>
      </c>
      <c r="G331" s="67" t="s">
        <v>109</v>
      </c>
      <c r="H331" s="67" t="s">
        <v>87</v>
      </c>
      <c r="I331" s="67" t="s">
        <v>50</v>
      </c>
      <c r="J331" s="67" t="s">
        <v>110</v>
      </c>
      <c r="K331" s="67" t="s">
        <v>111</v>
      </c>
      <c r="L331" s="68" t="s">
        <v>112</v>
      </c>
      <c r="M331" s="68">
        <f>--AND(Configuración!$B$6&lt;&gt;"",OR(E331="Todas",ISNUMBER(SEARCH(Configuración!$B$7,E331))),IF(L331="Monotributo",Configuración!$B$10="Sí",IF(L331="Autónomos",Configuración!$B$11="Sí",IF(L331="Responsable inscripto",Configuración!$B$12="Sí",IF(L331="Empleador",Configuración!$B$13="Sí",IF(L331="Casas particulares",Configuración!$B$14="Sí",IF(L331="Retenciones",Configuración!$B$15="Sí",IF(L331="Sociedad",Configuración!$B$16="Sí",IF(L331="Persona humana",Configuración!$B$17="Sí",IF(L331="Convenio Multilateral",Configuración!$B$18="Sí",FALSE()))))))))))</f>
        <v>0</v>
      </c>
      <c r="N331" s="68" t="str">
        <f>IF(M331=1,COUNTIF($M$2:M331,1),"")</f>
        <v/>
      </c>
      <c r="O331" s="50">
        <f t="shared" ca="1" si="20"/>
        <v>89</v>
      </c>
      <c r="P331" s="17" t="str">
        <f t="shared" ca="1" si="21"/>
        <v>Faltan 89 días</v>
      </c>
      <c r="Q331" s="50">
        <f t="shared" si="22"/>
        <v>46342</v>
      </c>
      <c r="R331" s="17" t="str">
        <f>IF(M331=1,COUNTIFS($Q$2:Q331,Q331,$M$2:M331,1),"")</f>
        <v/>
      </c>
      <c r="S331" s="50" t="str">
        <f t="shared" si="23"/>
        <v/>
      </c>
    </row>
    <row r="332" spans="1:19" ht="45" customHeight="1" x14ac:dyDescent="0.35">
      <c r="A332" s="66">
        <v>46342.625</v>
      </c>
      <c r="B332" s="67" t="s">
        <v>137</v>
      </c>
      <c r="C332" s="67" t="s">
        <v>138</v>
      </c>
      <c r="D332" s="67" t="s">
        <v>139</v>
      </c>
      <c r="E332" s="67" t="s">
        <v>145</v>
      </c>
      <c r="F332" s="67" t="s">
        <v>186</v>
      </c>
      <c r="G332" s="67" t="s">
        <v>94</v>
      </c>
      <c r="H332" s="67" t="s">
        <v>142</v>
      </c>
      <c r="I332" s="67" t="s">
        <v>50</v>
      </c>
      <c r="J332" s="67" t="s">
        <v>150</v>
      </c>
      <c r="K332" s="67" t="s">
        <v>151</v>
      </c>
      <c r="L332" s="68" t="s">
        <v>33</v>
      </c>
      <c r="M332" s="68">
        <f>--AND(Configuración!$B$6&lt;&gt;"",OR(E332="Todas",ISNUMBER(SEARCH(Configuración!$B$7,E332))),IF(L332="Monotributo",Configuración!$B$10="Sí",IF(L332="Autónomos",Configuración!$B$11="Sí",IF(L332="Responsable inscripto",Configuración!$B$12="Sí",IF(L332="Empleador",Configuración!$B$13="Sí",IF(L332="Casas particulares",Configuración!$B$14="Sí",IF(L332="Retenciones",Configuración!$B$15="Sí",IF(L332="Sociedad",Configuración!$B$16="Sí",IF(L332="Persona humana",Configuración!$B$17="Sí",IF(L332="Convenio Multilateral",Configuración!$B$18="Sí",FALSE()))))))))))</f>
        <v>0</v>
      </c>
      <c r="N332" s="68" t="str">
        <f>IF(M332=1,COUNTIF($M$2:M332,1),"")</f>
        <v/>
      </c>
      <c r="O332" s="50">
        <f t="shared" ca="1" si="20"/>
        <v>89</v>
      </c>
      <c r="P332" s="17" t="str">
        <f t="shared" ca="1" si="21"/>
        <v>Faltan 89 días</v>
      </c>
      <c r="Q332" s="50">
        <f t="shared" si="22"/>
        <v>46342</v>
      </c>
      <c r="R332" s="17" t="str">
        <f>IF(M332=1,COUNTIFS($Q$2:Q332,Q332,$M$2:M332,1),"")</f>
        <v/>
      </c>
      <c r="S332" s="50" t="str">
        <f t="shared" si="23"/>
        <v/>
      </c>
    </row>
    <row r="333" spans="1:19" ht="45" customHeight="1" x14ac:dyDescent="0.35">
      <c r="A333" s="66">
        <v>46343.625</v>
      </c>
      <c r="B333" s="67" t="s">
        <v>105</v>
      </c>
      <c r="C333" s="67" t="s">
        <v>106</v>
      </c>
      <c r="D333" s="67" t="s">
        <v>107</v>
      </c>
      <c r="E333" s="67" t="s">
        <v>90</v>
      </c>
      <c r="F333" s="67" t="s">
        <v>164</v>
      </c>
      <c r="G333" s="67" t="s">
        <v>109</v>
      </c>
      <c r="H333" s="67" t="s">
        <v>87</v>
      </c>
      <c r="I333" s="67" t="s">
        <v>50</v>
      </c>
      <c r="J333" s="67" t="s">
        <v>110</v>
      </c>
      <c r="K333" s="67" t="s">
        <v>111</v>
      </c>
      <c r="L333" s="68" t="s">
        <v>112</v>
      </c>
      <c r="M333" s="68">
        <f>--AND(Configuración!$B$6&lt;&gt;"",OR(E333="Todas",ISNUMBER(SEARCH(Configuración!$B$7,E333))),IF(L333="Monotributo",Configuración!$B$10="Sí",IF(L333="Autónomos",Configuración!$B$11="Sí",IF(L333="Responsable inscripto",Configuración!$B$12="Sí",IF(L333="Empleador",Configuración!$B$13="Sí",IF(L333="Casas particulares",Configuración!$B$14="Sí",IF(L333="Retenciones",Configuración!$B$15="Sí",IF(L333="Sociedad",Configuración!$B$16="Sí",IF(L333="Persona humana",Configuración!$B$17="Sí",IF(L333="Convenio Multilateral",Configuración!$B$18="Sí",FALSE()))))))))))</f>
        <v>0</v>
      </c>
      <c r="N333" s="68" t="str">
        <f>IF(M333=1,COUNTIF($M$2:M333,1),"")</f>
        <v/>
      </c>
      <c r="O333" s="50">
        <f t="shared" ca="1" si="20"/>
        <v>90</v>
      </c>
      <c r="P333" s="17" t="str">
        <f t="shared" ca="1" si="21"/>
        <v>Faltan 90 días</v>
      </c>
      <c r="Q333" s="50">
        <f t="shared" si="22"/>
        <v>46343</v>
      </c>
      <c r="R333" s="17" t="str">
        <f>IF(M333=1,COUNTIFS($Q$2:Q333,Q333,$M$2:M333,1),"")</f>
        <v/>
      </c>
      <c r="S333" s="50" t="str">
        <f t="shared" si="23"/>
        <v/>
      </c>
    </row>
    <row r="334" spans="1:19" ht="45" customHeight="1" x14ac:dyDescent="0.35">
      <c r="A334" s="66">
        <v>46343.625</v>
      </c>
      <c r="B334" s="67" t="s">
        <v>137</v>
      </c>
      <c r="C334" s="67" t="s">
        <v>138</v>
      </c>
      <c r="D334" s="67" t="s">
        <v>139</v>
      </c>
      <c r="E334" s="67" t="s">
        <v>146</v>
      </c>
      <c r="F334" s="67" t="s">
        <v>186</v>
      </c>
      <c r="G334" s="67" t="s">
        <v>94</v>
      </c>
      <c r="H334" s="67" t="s">
        <v>142</v>
      </c>
      <c r="I334" s="67" t="s">
        <v>50</v>
      </c>
      <c r="J334" s="67" t="s">
        <v>150</v>
      </c>
      <c r="K334" s="67" t="s">
        <v>151</v>
      </c>
      <c r="L334" s="68" t="s">
        <v>33</v>
      </c>
      <c r="M334" s="68">
        <f>--AND(Configuración!$B$6&lt;&gt;"",OR(E334="Todas",ISNUMBER(SEARCH(Configuración!$B$7,E334))),IF(L334="Monotributo",Configuración!$B$10="Sí",IF(L334="Autónomos",Configuración!$B$11="Sí",IF(L334="Responsable inscripto",Configuración!$B$12="Sí",IF(L334="Empleador",Configuración!$B$13="Sí",IF(L334="Casas particulares",Configuración!$B$14="Sí",IF(L334="Retenciones",Configuración!$B$15="Sí",IF(L334="Sociedad",Configuración!$B$16="Sí",IF(L334="Persona humana",Configuración!$B$17="Sí",IF(L334="Convenio Multilateral",Configuración!$B$18="Sí",FALSE()))))))))))</f>
        <v>0</v>
      </c>
      <c r="N334" s="68" t="str">
        <f>IF(M334=1,COUNTIF($M$2:M334,1),"")</f>
        <v/>
      </c>
      <c r="O334" s="50">
        <f t="shared" ca="1" si="20"/>
        <v>90</v>
      </c>
      <c r="P334" s="17" t="str">
        <f t="shared" ca="1" si="21"/>
        <v>Faltan 90 días</v>
      </c>
      <c r="Q334" s="50">
        <f t="shared" si="22"/>
        <v>46343</v>
      </c>
      <c r="R334" s="17" t="str">
        <f>IF(M334=1,COUNTIFS($Q$2:Q334,Q334,$M$2:M334,1),"")</f>
        <v/>
      </c>
      <c r="S334" s="50" t="str">
        <f t="shared" si="23"/>
        <v/>
      </c>
    </row>
    <row r="335" spans="1:19" ht="45" customHeight="1" x14ac:dyDescent="0.35">
      <c r="A335" s="66">
        <v>46344</v>
      </c>
      <c r="B335" s="67" t="s">
        <v>115</v>
      </c>
      <c r="C335" s="67" t="s">
        <v>116</v>
      </c>
      <c r="D335" s="67" t="s">
        <v>117</v>
      </c>
      <c r="E335" s="67" t="s">
        <v>84</v>
      </c>
      <c r="F335" s="67" t="s">
        <v>185</v>
      </c>
      <c r="G335" s="67" t="s">
        <v>94</v>
      </c>
      <c r="H335" s="67" t="s">
        <v>87</v>
      </c>
      <c r="I335" s="67" t="s">
        <v>50</v>
      </c>
      <c r="J335" s="67" t="s">
        <v>88</v>
      </c>
      <c r="K335" s="67"/>
      <c r="L335" s="68" t="s">
        <v>118</v>
      </c>
      <c r="M335" s="68">
        <f>--AND(Configuración!$B$6&lt;&gt;"",OR(E335="Todas",ISNUMBER(SEARCH(Configuración!$B$7,E335))),IF(L335="Monotributo",Configuración!$B$10="Sí",IF(L335="Autónomos",Configuración!$B$11="Sí",IF(L335="Responsable inscripto",Configuración!$B$12="Sí",IF(L335="Empleador",Configuración!$B$13="Sí",IF(L335="Casas particulares",Configuración!$B$14="Sí",IF(L335="Retenciones",Configuración!$B$15="Sí",IF(L335="Sociedad",Configuración!$B$16="Sí",IF(L335="Persona humana",Configuración!$B$17="Sí",IF(L335="Convenio Multilateral",Configuración!$B$18="Sí",FALSE()))))))))))</f>
        <v>0</v>
      </c>
      <c r="N335" s="68" t="str">
        <f>IF(M335=1,COUNTIF($M$2:M335,1),"")</f>
        <v/>
      </c>
      <c r="O335" s="50">
        <f t="shared" ca="1" si="20"/>
        <v>91</v>
      </c>
      <c r="P335" s="17" t="str">
        <f t="shared" ca="1" si="21"/>
        <v>Faltan 91 días</v>
      </c>
      <c r="Q335" s="50">
        <f t="shared" si="22"/>
        <v>46344</v>
      </c>
      <c r="R335" s="17" t="str">
        <f>IF(M335=1,COUNTIFS($Q$2:Q335,Q335,$M$2:M335,1),"")</f>
        <v/>
      </c>
      <c r="S335" s="50" t="str">
        <f t="shared" si="23"/>
        <v/>
      </c>
    </row>
    <row r="336" spans="1:19" ht="45" customHeight="1" x14ac:dyDescent="0.35">
      <c r="A336" s="66">
        <v>46344</v>
      </c>
      <c r="B336" s="67" t="s">
        <v>119</v>
      </c>
      <c r="C336" s="67" t="s">
        <v>120</v>
      </c>
      <c r="D336" s="67" t="s">
        <v>121</v>
      </c>
      <c r="E336" s="67" t="s">
        <v>84</v>
      </c>
      <c r="F336" s="67" t="s">
        <v>185</v>
      </c>
      <c r="G336" s="67" t="s">
        <v>94</v>
      </c>
      <c r="H336" s="67" t="s">
        <v>87</v>
      </c>
      <c r="I336" s="67" t="s">
        <v>50</v>
      </c>
      <c r="J336" s="67" t="s">
        <v>88</v>
      </c>
      <c r="K336" s="67"/>
      <c r="L336" s="68" t="s">
        <v>118</v>
      </c>
      <c r="M336" s="68">
        <f>--AND(Configuración!$B$6&lt;&gt;"",OR(E336="Todas",ISNUMBER(SEARCH(Configuración!$B$7,E336))),IF(L336="Monotributo",Configuración!$B$10="Sí",IF(L336="Autónomos",Configuración!$B$11="Sí",IF(L336="Responsable inscripto",Configuración!$B$12="Sí",IF(L336="Empleador",Configuración!$B$13="Sí",IF(L336="Casas particulares",Configuración!$B$14="Sí",IF(L336="Retenciones",Configuración!$B$15="Sí",IF(L336="Sociedad",Configuración!$B$16="Sí",IF(L336="Persona humana",Configuración!$B$17="Sí",IF(L336="Convenio Multilateral",Configuración!$B$18="Sí",FALSE()))))))))))</f>
        <v>0</v>
      </c>
      <c r="N336" s="68" t="str">
        <f>IF(M336=1,COUNTIF($M$2:M336,1),"")</f>
        <v/>
      </c>
      <c r="O336" s="50">
        <f t="shared" ca="1" si="20"/>
        <v>91</v>
      </c>
      <c r="P336" s="17" t="str">
        <f t="shared" ca="1" si="21"/>
        <v>Faltan 91 días</v>
      </c>
      <c r="Q336" s="50">
        <f t="shared" si="22"/>
        <v>46344</v>
      </c>
      <c r="R336" s="17" t="str">
        <f>IF(M336=1,COUNTIFS($Q$2:Q336,Q336,$M$2:M336,1),"")</f>
        <v/>
      </c>
      <c r="S336" s="50" t="str">
        <f t="shared" si="23"/>
        <v/>
      </c>
    </row>
    <row r="337" spans="1:19" ht="45" customHeight="1" x14ac:dyDescent="0.35">
      <c r="A337" s="66">
        <v>46344</v>
      </c>
      <c r="B337" s="67" t="s">
        <v>122</v>
      </c>
      <c r="C337" s="67" t="s">
        <v>123</v>
      </c>
      <c r="D337" s="67" t="s">
        <v>124</v>
      </c>
      <c r="E337" s="67" t="s">
        <v>84</v>
      </c>
      <c r="F337" s="67" t="s">
        <v>185</v>
      </c>
      <c r="G337" s="67" t="s">
        <v>109</v>
      </c>
      <c r="H337" s="67" t="s">
        <v>87</v>
      </c>
      <c r="I337" s="67" t="s">
        <v>50</v>
      </c>
      <c r="J337" s="67" t="s">
        <v>88</v>
      </c>
      <c r="K337" s="67" t="s">
        <v>125</v>
      </c>
      <c r="L337" s="68" t="s">
        <v>118</v>
      </c>
      <c r="M337" s="68">
        <f>--AND(Configuración!$B$6&lt;&gt;"",OR(E337="Todas",ISNUMBER(SEARCH(Configuración!$B$7,E337))),IF(L337="Monotributo",Configuración!$B$10="Sí",IF(L337="Autónomos",Configuración!$B$11="Sí",IF(L337="Responsable inscripto",Configuración!$B$12="Sí",IF(L337="Empleador",Configuración!$B$13="Sí",IF(L337="Casas particulares",Configuración!$B$14="Sí",IF(L337="Retenciones",Configuración!$B$15="Sí",IF(L337="Sociedad",Configuración!$B$16="Sí",IF(L337="Persona humana",Configuración!$B$17="Sí",IF(L337="Convenio Multilateral",Configuración!$B$18="Sí",FALSE()))))))))))</f>
        <v>0</v>
      </c>
      <c r="N337" s="68" t="str">
        <f>IF(M337=1,COUNTIF($M$2:M337,1),"")</f>
        <v/>
      </c>
      <c r="O337" s="50">
        <f t="shared" ca="1" si="20"/>
        <v>91</v>
      </c>
      <c r="P337" s="17" t="str">
        <f t="shared" ca="1" si="21"/>
        <v>Faltan 91 días</v>
      </c>
      <c r="Q337" s="50">
        <f t="shared" si="22"/>
        <v>46344</v>
      </c>
      <c r="R337" s="17" t="str">
        <f>IF(M337=1,COUNTIFS($Q$2:Q337,Q337,$M$2:M337,1),"")</f>
        <v/>
      </c>
      <c r="S337" s="50" t="str">
        <f t="shared" si="23"/>
        <v/>
      </c>
    </row>
    <row r="338" spans="1:19" ht="45" customHeight="1" x14ac:dyDescent="0.35">
      <c r="A338" s="66">
        <v>46344.625</v>
      </c>
      <c r="B338" s="67" t="s">
        <v>137</v>
      </c>
      <c r="C338" s="67" t="s">
        <v>138</v>
      </c>
      <c r="D338" s="67" t="s">
        <v>139</v>
      </c>
      <c r="E338" s="67" t="s">
        <v>147</v>
      </c>
      <c r="F338" s="67" t="s">
        <v>186</v>
      </c>
      <c r="G338" s="67" t="s">
        <v>94</v>
      </c>
      <c r="H338" s="67" t="s">
        <v>142</v>
      </c>
      <c r="I338" s="67" t="s">
        <v>50</v>
      </c>
      <c r="J338" s="67" t="s">
        <v>150</v>
      </c>
      <c r="K338" s="67" t="s">
        <v>151</v>
      </c>
      <c r="L338" s="68" t="s">
        <v>33</v>
      </c>
      <c r="M338" s="68">
        <f>--AND(Configuración!$B$6&lt;&gt;"",OR(E338="Todas",ISNUMBER(SEARCH(Configuración!$B$7,E338))),IF(L338="Monotributo",Configuración!$B$10="Sí",IF(L338="Autónomos",Configuración!$B$11="Sí",IF(L338="Responsable inscripto",Configuración!$B$12="Sí",IF(L338="Empleador",Configuración!$B$13="Sí",IF(L338="Casas particulares",Configuración!$B$14="Sí",IF(L338="Retenciones",Configuración!$B$15="Sí",IF(L338="Sociedad",Configuración!$B$16="Sí",IF(L338="Persona humana",Configuración!$B$17="Sí",IF(L338="Convenio Multilateral",Configuración!$B$18="Sí",FALSE()))))))))))</f>
        <v>0</v>
      </c>
      <c r="N338" s="68" t="str">
        <f>IF(M338=1,COUNTIF($M$2:M338,1),"")</f>
        <v/>
      </c>
      <c r="O338" s="50">
        <f t="shared" ca="1" si="20"/>
        <v>91</v>
      </c>
      <c r="P338" s="17" t="str">
        <f t="shared" ca="1" si="21"/>
        <v>Faltan 91 días</v>
      </c>
      <c r="Q338" s="50">
        <f t="shared" si="22"/>
        <v>46344</v>
      </c>
      <c r="R338" s="17" t="str">
        <f>IF(M338=1,COUNTIFS($Q$2:Q338,Q338,$M$2:M338,1),"")</f>
        <v/>
      </c>
      <c r="S338" s="50" t="str">
        <f t="shared" si="23"/>
        <v/>
      </c>
    </row>
    <row r="339" spans="1:19" ht="45" customHeight="1" x14ac:dyDescent="0.35">
      <c r="A339" s="66">
        <v>46345</v>
      </c>
      <c r="B339" s="67" t="s">
        <v>115</v>
      </c>
      <c r="C339" s="67" t="s">
        <v>116</v>
      </c>
      <c r="D339" s="67" t="s">
        <v>117</v>
      </c>
      <c r="E339" s="67" t="s">
        <v>89</v>
      </c>
      <c r="F339" s="67" t="s">
        <v>185</v>
      </c>
      <c r="G339" s="67" t="s">
        <v>94</v>
      </c>
      <c r="H339" s="67" t="s">
        <v>87</v>
      </c>
      <c r="I339" s="67" t="s">
        <v>50</v>
      </c>
      <c r="J339" s="67" t="s">
        <v>88</v>
      </c>
      <c r="K339" s="67"/>
      <c r="L339" s="68" t="s">
        <v>118</v>
      </c>
      <c r="M339" s="68">
        <f>--AND(Configuración!$B$6&lt;&gt;"",OR(E339="Todas",ISNUMBER(SEARCH(Configuración!$B$7,E339))),IF(L339="Monotributo",Configuración!$B$10="Sí",IF(L339="Autónomos",Configuración!$B$11="Sí",IF(L339="Responsable inscripto",Configuración!$B$12="Sí",IF(L339="Empleador",Configuración!$B$13="Sí",IF(L339="Casas particulares",Configuración!$B$14="Sí",IF(L339="Retenciones",Configuración!$B$15="Sí",IF(L339="Sociedad",Configuración!$B$16="Sí",IF(L339="Persona humana",Configuración!$B$17="Sí",IF(L339="Convenio Multilateral",Configuración!$B$18="Sí",FALSE()))))))))))</f>
        <v>0</v>
      </c>
      <c r="N339" s="68" t="str">
        <f>IF(M339=1,COUNTIF($M$2:M339,1),"")</f>
        <v/>
      </c>
      <c r="O339" s="50">
        <f t="shared" ca="1" si="20"/>
        <v>92</v>
      </c>
      <c r="P339" s="17" t="str">
        <f t="shared" ca="1" si="21"/>
        <v>Faltan 92 días</v>
      </c>
      <c r="Q339" s="50">
        <f t="shared" si="22"/>
        <v>46345</v>
      </c>
      <c r="R339" s="17" t="str">
        <f>IF(M339=1,COUNTIFS($Q$2:Q339,Q339,$M$2:M339,1),"")</f>
        <v/>
      </c>
      <c r="S339" s="50" t="str">
        <f t="shared" si="23"/>
        <v/>
      </c>
    </row>
    <row r="340" spans="1:19" ht="45" customHeight="1" x14ac:dyDescent="0.35">
      <c r="A340" s="66">
        <v>46345</v>
      </c>
      <c r="B340" s="67" t="s">
        <v>119</v>
      </c>
      <c r="C340" s="67" t="s">
        <v>120</v>
      </c>
      <c r="D340" s="67" t="s">
        <v>121</v>
      </c>
      <c r="E340" s="67" t="s">
        <v>89</v>
      </c>
      <c r="F340" s="67" t="s">
        <v>185</v>
      </c>
      <c r="G340" s="67" t="s">
        <v>94</v>
      </c>
      <c r="H340" s="67" t="s">
        <v>87</v>
      </c>
      <c r="I340" s="67" t="s">
        <v>50</v>
      </c>
      <c r="J340" s="67" t="s">
        <v>88</v>
      </c>
      <c r="K340" s="67"/>
      <c r="L340" s="68" t="s">
        <v>118</v>
      </c>
      <c r="M340" s="68">
        <f>--AND(Configuración!$B$6&lt;&gt;"",OR(E340="Todas",ISNUMBER(SEARCH(Configuración!$B$7,E340))),IF(L340="Monotributo",Configuración!$B$10="Sí",IF(L340="Autónomos",Configuración!$B$11="Sí",IF(L340="Responsable inscripto",Configuración!$B$12="Sí",IF(L340="Empleador",Configuración!$B$13="Sí",IF(L340="Casas particulares",Configuración!$B$14="Sí",IF(L340="Retenciones",Configuración!$B$15="Sí",IF(L340="Sociedad",Configuración!$B$16="Sí",IF(L340="Persona humana",Configuración!$B$17="Sí",IF(L340="Convenio Multilateral",Configuración!$B$18="Sí",FALSE()))))))))))</f>
        <v>0</v>
      </c>
      <c r="N340" s="68" t="str">
        <f>IF(M340=1,COUNTIF($M$2:M340,1),"")</f>
        <v/>
      </c>
      <c r="O340" s="50">
        <f t="shared" ca="1" si="20"/>
        <v>92</v>
      </c>
      <c r="P340" s="17" t="str">
        <f t="shared" ca="1" si="21"/>
        <v>Faltan 92 días</v>
      </c>
      <c r="Q340" s="50">
        <f t="shared" si="22"/>
        <v>46345</v>
      </c>
      <c r="R340" s="17" t="str">
        <f>IF(M340=1,COUNTIFS($Q$2:Q340,Q340,$M$2:M340,1),"")</f>
        <v/>
      </c>
      <c r="S340" s="50" t="str">
        <f t="shared" si="23"/>
        <v/>
      </c>
    </row>
    <row r="341" spans="1:19" ht="45" customHeight="1" x14ac:dyDescent="0.35">
      <c r="A341" s="66">
        <v>46345</v>
      </c>
      <c r="B341" s="67" t="s">
        <v>122</v>
      </c>
      <c r="C341" s="67" t="s">
        <v>123</v>
      </c>
      <c r="D341" s="67" t="s">
        <v>124</v>
      </c>
      <c r="E341" s="67" t="s">
        <v>89</v>
      </c>
      <c r="F341" s="67" t="s">
        <v>185</v>
      </c>
      <c r="G341" s="67" t="s">
        <v>109</v>
      </c>
      <c r="H341" s="67" t="s">
        <v>87</v>
      </c>
      <c r="I341" s="67" t="s">
        <v>50</v>
      </c>
      <c r="J341" s="67" t="s">
        <v>88</v>
      </c>
      <c r="K341" s="67" t="s">
        <v>125</v>
      </c>
      <c r="L341" s="68" t="s">
        <v>118</v>
      </c>
      <c r="M341" s="68">
        <f>--AND(Configuración!$B$6&lt;&gt;"",OR(E341="Todas",ISNUMBER(SEARCH(Configuración!$B$7,E341))),IF(L341="Monotributo",Configuración!$B$10="Sí",IF(L341="Autónomos",Configuración!$B$11="Sí",IF(L341="Responsable inscripto",Configuración!$B$12="Sí",IF(L341="Empleador",Configuración!$B$13="Sí",IF(L341="Casas particulares",Configuración!$B$14="Sí",IF(L341="Retenciones",Configuración!$B$15="Sí",IF(L341="Sociedad",Configuración!$B$16="Sí",IF(L341="Persona humana",Configuración!$B$17="Sí",IF(L341="Convenio Multilateral",Configuración!$B$18="Sí",FALSE()))))))))))</f>
        <v>0</v>
      </c>
      <c r="N341" s="68" t="str">
        <f>IF(M341=1,COUNTIF($M$2:M341,1),"")</f>
        <v/>
      </c>
      <c r="O341" s="50">
        <f t="shared" ca="1" si="20"/>
        <v>92</v>
      </c>
      <c r="P341" s="17" t="str">
        <f t="shared" ca="1" si="21"/>
        <v>Faltan 92 días</v>
      </c>
      <c r="Q341" s="50">
        <f t="shared" si="22"/>
        <v>46345</v>
      </c>
      <c r="R341" s="17" t="str">
        <f>IF(M341=1,COUNTIFS($Q$2:Q341,Q341,$M$2:M341,1),"")</f>
        <v/>
      </c>
      <c r="S341" s="50" t="str">
        <f t="shared" si="23"/>
        <v/>
      </c>
    </row>
    <row r="342" spans="1:19" ht="45" customHeight="1" x14ac:dyDescent="0.35">
      <c r="A342" s="66">
        <v>46346</v>
      </c>
      <c r="B342" s="67" t="s">
        <v>115</v>
      </c>
      <c r="C342" s="67" t="s">
        <v>116</v>
      </c>
      <c r="D342" s="67" t="s">
        <v>117</v>
      </c>
      <c r="E342" s="67" t="s">
        <v>90</v>
      </c>
      <c r="F342" s="67" t="s">
        <v>185</v>
      </c>
      <c r="G342" s="67" t="s">
        <v>94</v>
      </c>
      <c r="H342" s="67" t="s">
        <v>87</v>
      </c>
      <c r="I342" s="67" t="s">
        <v>50</v>
      </c>
      <c r="J342" s="67" t="s">
        <v>88</v>
      </c>
      <c r="K342" s="67"/>
      <c r="L342" s="68" t="s">
        <v>118</v>
      </c>
      <c r="M342" s="68">
        <f>--AND(Configuración!$B$6&lt;&gt;"",OR(E342="Todas",ISNUMBER(SEARCH(Configuración!$B$7,E342))),IF(L342="Monotributo",Configuración!$B$10="Sí",IF(L342="Autónomos",Configuración!$B$11="Sí",IF(L342="Responsable inscripto",Configuración!$B$12="Sí",IF(L342="Empleador",Configuración!$B$13="Sí",IF(L342="Casas particulares",Configuración!$B$14="Sí",IF(L342="Retenciones",Configuración!$B$15="Sí",IF(L342="Sociedad",Configuración!$B$16="Sí",IF(L342="Persona humana",Configuración!$B$17="Sí",IF(L342="Convenio Multilateral",Configuración!$B$18="Sí",FALSE()))))))))))</f>
        <v>0</v>
      </c>
      <c r="N342" s="68" t="str">
        <f>IF(M342=1,COUNTIF($M$2:M342,1),"")</f>
        <v/>
      </c>
      <c r="O342" s="50">
        <f t="shared" ca="1" si="20"/>
        <v>93</v>
      </c>
      <c r="P342" s="17" t="str">
        <f t="shared" ca="1" si="21"/>
        <v>Faltan 93 días</v>
      </c>
      <c r="Q342" s="50">
        <f t="shared" si="22"/>
        <v>46346</v>
      </c>
      <c r="R342" s="17" t="str">
        <f>IF(M342=1,COUNTIFS($Q$2:Q342,Q342,$M$2:M342,1),"")</f>
        <v/>
      </c>
      <c r="S342" s="50" t="str">
        <f t="shared" si="23"/>
        <v/>
      </c>
    </row>
    <row r="343" spans="1:19" ht="45" customHeight="1" x14ac:dyDescent="0.35">
      <c r="A343" s="66">
        <v>46346</v>
      </c>
      <c r="B343" s="67" t="s">
        <v>119</v>
      </c>
      <c r="C343" s="67" t="s">
        <v>120</v>
      </c>
      <c r="D343" s="67" t="s">
        <v>121</v>
      </c>
      <c r="E343" s="67" t="s">
        <v>90</v>
      </c>
      <c r="F343" s="67" t="s">
        <v>185</v>
      </c>
      <c r="G343" s="67" t="s">
        <v>94</v>
      </c>
      <c r="H343" s="67" t="s">
        <v>87</v>
      </c>
      <c r="I343" s="67" t="s">
        <v>50</v>
      </c>
      <c r="J343" s="67" t="s">
        <v>88</v>
      </c>
      <c r="K343" s="67"/>
      <c r="L343" s="68" t="s">
        <v>118</v>
      </c>
      <c r="M343" s="68">
        <f>--AND(Configuración!$B$6&lt;&gt;"",OR(E343="Todas",ISNUMBER(SEARCH(Configuración!$B$7,E343))),IF(L343="Monotributo",Configuración!$B$10="Sí",IF(L343="Autónomos",Configuración!$B$11="Sí",IF(L343="Responsable inscripto",Configuración!$B$12="Sí",IF(L343="Empleador",Configuración!$B$13="Sí",IF(L343="Casas particulares",Configuración!$B$14="Sí",IF(L343="Retenciones",Configuración!$B$15="Sí",IF(L343="Sociedad",Configuración!$B$16="Sí",IF(L343="Persona humana",Configuración!$B$17="Sí",IF(L343="Convenio Multilateral",Configuración!$B$18="Sí",FALSE()))))))))))</f>
        <v>0</v>
      </c>
      <c r="N343" s="68" t="str">
        <f>IF(M343=1,COUNTIF($M$2:M343,1),"")</f>
        <v/>
      </c>
      <c r="O343" s="50">
        <f t="shared" ca="1" si="20"/>
        <v>93</v>
      </c>
      <c r="P343" s="17" t="str">
        <f t="shared" ca="1" si="21"/>
        <v>Faltan 93 días</v>
      </c>
      <c r="Q343" s="50">
        <f t="shared" si="22"/>
        <v>46346</v>
      </c>
      <c r="R343" s="17" t="str">
        <f>IF(M343=1,COUNTIFS($Q$2:Q343,Q343,$M$2:M343,1),"")</f>
        <v/>
      </c>
      <c r="S343" s="50" t="str">
        <f t="shared" si="23"/>
        <v/>
      </c>
    </row>
    <row r="344" spans="1:19" ht="45" customHeight="1" x14ac:dyDescent="0.35">
      <c r="A344" s="66">
        <v>46346</v>
      </c>
      <c r="B344" s="67" t="s">
        <v>122</v>
      </c>
      <c r="C344" s="67" t="s">
        <v>123</v>
      </c>
      <c r="D344" s="67" t="s">
        <v>124</v>
      </c>
      <c r="E344" s="67" t="s">
        <v>90</v>
      </c>
      <c r="F344" s="67" t="s">
        <v>185</v>
      </c>
      <c r="G344" s="67" t="s">
        <v>109</v>
      </c>
      <c r="H344" s="67" t="s">
        <v>87</v>
      </c>
      <c r="I344" s="67" t="s">
        <v>50</v>
      </c>
      <c r="J344" s="67" t="s">
        <v>88</v>
      </c>
      <c r="K344" s="67" t="s">
        <v>125</v>
      </c>
      <c r="L344" s="68" t="s">
        <v>118</v>
      </c>
      <c r="M344" s="68">
        <f>--AND(Configuración!$B$6&lt;&gt;"",OR(E344="Todas",ISNUMBER(SEARCH(Configuración!$B$7,E344))),IF(L344="Monotributo",Configuración!$B$10="Sí",IF(L344="Autónomos",Configuración!$B$11="Sí",IF(L344="Responsable inscripto",Configuración!$B$12="Sí",IF(L344="Empleador",Configuración!$B$13="Sí",IF(L344="Casas particulares",Configuración!$B$14="Sí",IF(L344="Retenciones",Configuración!$B$15="Sí",IF(L344="Sociedad",Configuración!$B$16="Sí",IF(L344="Persona humana",Configuración!$B$17="Sí",IF(L344="Convenio Multilateral",Configuración!$B$18="Sí",FALSE()))))))))))</f>
        <v>0</v>
      </c>
      <c r="N344" s="68" t="str">
        <f>IF(M344=1,COUNTIF($M$2:M344,1),"")</f>
        <v/>
      </c>
      <c r="O344" s="50">
        <f t="shared" ca="1" si="20"/>
        <v>93</v>
      </c>
      <c r="P344" s="17" t="str">
        <f t="shared" ca="1" si="21"/>
        <v>Faltan 93 días</v>
      </c>
      <c r="Q344" s="50">
        <f t="shared" si="22"/>
        <v>46346</v>
      </c>
      <c r="R344" s="17" t="str">
        <f>IF(M344=1,COUNTIFS($Q$2:Q344,Q344,$M$2:M344,1),"")</f>
        <v/>
      </c>
      <c r="S344" s="50" t="str">
        <f t="shared" si="23"/>
        <v/>
      </c>
    </row>
    <row r="345" spans="1:19" ht="30" customHeight="1" x14ac:dyDescent="0.35">
      <c r="A345" s="66">
        <v>46346</v>
      </c>
      <c r="B345" s="67" t="s">
        <v>24</v>
      </c>
      <c r="C345" s="67" t="s">
        <v>126</v>
      </c>
      <c r="D345" s="67" t="s">
        <v>127</v>
      </c>
      <c r="E345" s="67" t="s">
        <v>104</v>
      </c>
      <c r="F345" s="67" t="s">
        <v>187</v>
      </c>
      <c r="G345" s="67" t="s">
        <v>86</v>
      </c>
      <c r="H345" s="67" t="s">
        <v>87</v>
      </c>
      <c r="I345" s="67" t="s">
        <v>50</v>
      </c>
      <c r="J345" s="67" t="s">
        <v>129</v>
      </c>
      <c r="K345" s="67" t="s">
        <v>130</v>
      </c>
      <c r="L345" s="68" t="s">
        <v>24</v>
      </c>
      <c r="M345" s="68">
        <f>--AND(Configuración!$B$6&lt;&gt;"",OR(E345="Todas",ISNUMBER(SEARCH(Configuración!$B$7,E345))),IF(L345="Monotributo",Configuración!$B$10="Sí",IF(L345="Autónomos",Configuración!$B$11="Sí",IF(L345="Responsable inscripto",Configuración!$B$12="Sí",IF(L345="Empleador",Configuración!$B$13="Sí",IF(L345="Casas particulares",Configuración!$B$14="Sí",IF(L345="Retenciones",Configuración!$B$15="Sí",IF(L345="Sociedad",Configuración!$B$16="Sí",IF(L345="Persona humana",Configuración!$B$17="Sí",IF(L345="Convenio Multilateral",Configuración!$B$18="Sí",FALSE()))))))))))</f>
        <v>0</v>
      </c>
      <c r="N345" s="68" t="str">
        <f>IF(M345=1,COUNTIF($M$2:M345,1),"")</f>
        <v/>
      </c>
      <c r="O345" s="50">
        <f t="shared" ca="1" si="20"/>
        <v>93</v>
      </c>
      <c r="P345" s="17" t="str">
        <f t="shared" ca="1" si="21"/>
        <v>Faltan 93 días</v>
      </c>
      <c r="Q345" s="50">
        <f t="shared" si="22"/>
        <v>46346</v>
      </c>
      <c r="R345" s="17" t="str">
        <f>IF(M345=1,COUNTIFS($Q$2:Q345,Q345,$M$2:M345,1),"")</f>
        <v/>
      </c>
      <c r="S345" s="50" t="str">
        <f t="shared" si="23"/>
        <v/>
      </c>
    </row>
    <row r="346" spans="1:19" ht="45" customHeight="1" x14ac:dyDescent="0.35">
      <c r="A346" s="66">
        <v>46359</v>
      </c>
      <c r="B346" s="67" t="s">
        <v>26</v>
      </c>
      <c r="C346" s="67" t="s">
        <v>82</v>
      </c>
      <c r="D346" s="67" t="s">
        <v>83</v>
      </c>
      <c r="E346" s="67" t="s">
        <v>84</v>
      </c>
      <c r="F346" s="67" t="s">
        <v>187</v>
      </c>
      <c r="G346" s="67" t="s">
        <v>86</v>
      </c>
      <c r="H346" s="67" t="s">
        <v>87</v>
      </c>
      <c r="I346" s="67" t="s">
        <v>50</v>
      </c>
      <c r="J346" s="67" t="s">
        <v>88</v>
      </c>
      <c r="K346" s="67"/>
      <c r="L346" s="68" t="s">
        <v>26</v>
      </c>
      <c r="M346" s="68">
        <f>--AND(Configuración!$B$6&lt;&gt;"",OR(E346="Todas",ISNUMBER(SEARCH(Configuración!$B$7,E346))),IF(L346="Monotributo",Configuración!$B$10="Sí",IF(L346="Autónomos",Configuración!$B$11="Sí",IF(L346="Responsable inscripto",Configuración!$B$12="Sí",IF(L346="Empleador",Configuración!$B$13="Sí",IF(L346="Casas particulares",Configuración!$B$14="Sí",IF(L346="Retenciones",Configuración!$B$15="Sí",IF(L346="Sociedad",Configuración!$B$16="Sí",IF(L346="Persona humana",Configuración!$B$17="Sí",IF(L346="Convenio Multilateral",Configuración!$B$18="Sí",FALSE()))))))))))</f>
        <v>0</v>
      </c>
      <c r="N346" s="68" t="str">
        <f>IF(M346=1,COUNTIF($M$2:M346,1),"")</f>
        <v/>
      </c>
      <c r="O346" s="50">
        <f t="shared" ca="1" si="20"/>
        <v>106</v>
      </c>
      <c r="P346" s="17" t="str">
        <f t="shared" ca="1" si="21"/>
        <v>Faltan 106 días</v>
      </c>
      <c r="Q346" s="50">
        <f t="shared" si="22"/>
        <v>46359</v>
      </c>
      <c r="R346" s="17" t="str">
        <f>IF(M346=1,COUNTIFS($Q$2:Q346,Q346,$M$2:M346,1),"")</f>
        <v/>
      </c>
      <c r="S346" s="50" t="str">
        <f t="shared" si="23"/>
        <v/>
      </c>
    </row>
    <row r="347" spans="1:19" ht="45" customHeight="1" x14ac:dyDescent="0.35">
      <c r="A347" s="66">
        <v>46360</v>
      </c>
      <c r="B347" s="67" t="s">
        <v>26</v>
      </c>
      <c r="C347" s="67" t="s">
        <v>82</v>
      </c>
      <c r="D347" s="67" t="s">
        <v>83</v>
      </c>
      <c r="E347" s="67" t="s">
        <v>89</v>
      </c>
      <c r="F347" s="67" t="s">
        <v>187</v>
      </c>
      <c r="G347" s="67" t="s">
        <v>86</v>
      </c>
      <c r="H347" s="67" t="s">
        <v>87</v>
      </c>
      <c r="I347" s="67" t="s">
        <v>50</v>
      </c>
      <c r="J347" s="67" t="s">
        <v>88</v>
      </c>
      <c r="K347" s="67"/>
      <c r="L347" s="68" t="s">
        <v>26</v>
      </c>
      <c r="M347" s="68">
        <f>--AND(Configuración!$B$6&lt;&gt;"",OR(E347="Todas",ISNUMBER(SEARCH(Configuración!$B$7,E347))),IF(L347="Monotributo",Configuración!$B$10="Sí",IF(L347="Autónomos",Configuración!$B$11="Sí",IF(L347="Responsable inscripto",Configuración!$B$12="Sí",IF(L347="Empleador",Configuración!$B$13="Sí",IF(L347="Casas particulares",Configuración!$B$14="Sí",IF(L347="Retenciones",Configuración!$B$15="Sí",IF(L347="Sociedad",Configuración!$B$16="Sí",IF(L347="Persona humana",Configuración!$B$17="Sí",IF(L347="Convenio Multilateral",Configuración!$B$18="Sí",FALSE()))))))))))</f>
        <v>0</v>
      </c>
      <c r="N347" s="68" t="str">
        <f>IF(M347=1,COUNTIF($M$2:M347,1),"")</f>
        <v/>
      </c>
      <c r="O347" s="50">
        <f t="shared" ca="1" si="20"/>
        <v>107</v>
      </c>
      <c r="P347" s="17" t="str">
        <f t="shared" ca="1" si="21"/>
        <v>Faltan 107 días</v>
      </c>
      <c r="Q347" s="50">
        <f t="shared" si="22"/>
        <v>46360</v>
      </c>
      <c r="R347" s="17" t="str">
        <f>IF(M347=1,COUNTIFS($Q$2:Q347,Q347,$M$2:M347,1),"")</f>
        <v/>
      </c>
      <c r="S347" s="50" t="str">
        <f t="shared" si="23"/>
        <v/>
      </c>
    </row>
    <row r="348" spans="1:19" ht="45" customHeight="1" x14ac:dyDescent="0.35">
      <c r="A348" s="66">
        <v>46360</v>
      </c>
      <c r="B348" s="67" t="s">
        <v>91</v>
      </c>
      <c r="C348" s="67" t="s">
        <v>92</v>
      </c>
      <c r="D348" s="67" t="s">
        <v>93</v>
      </c>
      <c r="E348" s="67" t="s">
        <v>84</v>
      </c>
      <c r="F348" s="67" t="s">
        <v>187</v>
      </c>
      <c r="G348" s="67" t="s">
        <v>94</v>
      </c>
      <c r="H348" s="67" t="s">
        <v>87</v>
      </c>
      <c r="I348" s="67" t="s">
        <v>50</v>
      </c>
      <c r="J348" s="67" t="s">
        <v>88</v>
      </c>
      <c r="K348" s="67"/>
      <c r="L348" s="68" t="s">
        <v>95</v>
      </c>
      <c r="M348" s="68">
        <f>--AND(Configuración!$B$6&lt;&gt;"",OR(E348="Todas",ISNUMBER(SEARCH(Configuración!$B$7,E348))),IF(L348="Monotributo",Configuración!$B$10="Sí",IF(L348="Autónomos",Configuración!$B$11="Sí",IF(L348="Responsable inscripto",Configuración!$B$12="Sí",IF(L348="Empleador",Configuración!$B$13="Sí",IF(L348="Casas particulares",Configuración!$B$14="Sí",IF(L348="Retenciones",Configuración!$B$15="Sí",IF(L348="Sociedad",Configuración!$B$16="Sí",IF(L348="Persona humana",Configuración!$B$17="Sí",IF(L348="Convenio Multilateral",Configuración!$B$18="Sí",FALSE()))))))))))</f>
        <v>0</v>
      </c>
      <c r="N348" s="68" t="str">
        <f>IF(M348=1,COUNTIF($M$2:M348,1),"")</f>
        <v/>
      </c>
      <c r="O348" s="50">
        <f t="shared" ca="1" si="20"/>
        <v>107</v>
      </c>
      <c r="P348" s="17" t="str">
        <f t="shared" ca="1" si="21"/>
        <v>Faltan 107 días</v>
      </c>
      <c r="Q348" s="50">
        <f t="shared" si="22"/>
        <v>46360</v>
      </c>
      <c r="R348" s="17" t="str">
        <f>IF(M348=1,COUNTIFS($Q$2:Q348,Q348,$M$2:M348,1),"")</f>
        <v/>
      </c>
      <c r="S348" s="50" t="str">
        <f t="shared" si="23"/>
        <v/>
      </c>
    </row>
    <row r="349" spans="1:19" ht="45" customHeight="1" x14ac:dyDescent="0.35">
      <c r="A349" s="66">
        <v>46363</v>
      </c>
      <c r="B349" s="67" t="s">
        <v>26</v>
      </c>
      <c r="C349" s="67" t="s">
        <v>82</v>
      </c>
      <c r="D349" s="67" t="s">
        <v>83</v>
      </c>
      <c r="E349" s="67" t="s">
        <v>90</v>
      </c>
      <c r="F349" s="67" t="s">
        <v>187</v>
      </c>
      <c r="G349" s="67" t="s">
        <v>86</v>
      </c>
      <c r="H349" s="67" t="s">
        <v>87</v>
      </c>
      <c r="I349" s="67" t="s">
        <v>50</v>
      </c>
      <c r="J349" s="67" t="s">
        <v>88</v>
      </c>
      <c r="K349" s="67"/>
      <c r="L349" s="68" t="s">
        <v>26</v>
      </c>
      <c r="M349" s="68">
        <f>--AND(Configuración!$B$6&lt;&gt;"",OR(E349="Todas",ISNUMBER(SEARCH(Configuración!$B$7,E349))),IF(L349="Monotributo",Configuración!$B$10="Sí",IF(L349="Autónomos",Configuración!$B$11="Sí",IF(L349="Responsable inscripto",Configuración!$B$12="Sí",IF(L349="Empleador",Configuración!$B$13="Sí",IF(L349="Casas particulares",Configuración!$B$14="Sí",IF(L349="Retenciones",Configuración!$B$15="Sí",IF(L349="Sociedad",Configuración!$B$16="Sí",IF(L349="Persona humana",Configuración!$B$17="Sí",IF(L349="Convenio Multilateral",Configuración!$B$18="Sí",FALSE()))))))))))</f>
        <v>0</v>
      </c>
      <c r="N349" s="68" t="str">
        <f>IF(M349=1,COUNTIF($M$2:M349,1),"")</f>
        <v/>
      </c>
      <c r="O349" s="50">
        <f t="shared" ca="1" si="20"/>
        <v>110</v>
      </c>
      <c r="P349" s="17" t="str">
        <f t="shared" ca="1" si="21"/>
        <v>Faltan 110 días</v>
      </c>
      <c r="Q349" s="50">
        <f t="shared" si="22"/>
        <v>46363</v>
      </c>
      <c r="R349" s="17" t="str">
        <f>IF(M349=1,COUNTIFS($Q$2:Q349,Q349,$M$2:M349,1),"")</f>
        <v/>
      </c>
      <c r="S349" s="50" t="str">
        <f t="shared" si="23"/>
        <v/>
      </c>
    </row>
    <row r="350" spans="1:19" ht="45" customHeight="1" x14ac:dyDescent="0.35">
      <c r="A350" s="66">
        <v>46363</v>
      </c>
      <c r="B350" s="67" t="s">
        <v>96</v>
      </c>
      <c r="C350" s="67" t="s">
        <v>97</v>
      </c>
      <c r="D350" s="67" t="s">
        <v>98</v>
      </c>
      <c r="E350" s="67" t="s">
        <v>84</v>
      </c>
      <c r="F350" s="67" t="s">
        <v>187</v>
      </c>
      <c r="G350" s="67" t="s">
        <v>94</v>
      </c>
      <c r="H350" s="67" t="s">
        <v>87</v>
      </c>
      <c r="I350" s="67" t="s">
        <v>50</v>
      </c>
      <c r="J350" s="67" t="s">
        <v>88</v>
      </c>
      <c r="K350" s="67"/>
      <c r="L350" s="68" t="s">
        <v>99</v>
      </c>
      <c r="M350" s="68">
        <f>--AND(Configuración!$B$6&lt;&gt;"",OR(E350="Todas",ISNUMBER(SEARCH(Configuración!$B$7,E350))),IF(L350="Monotributo",Configuración!$B$10="Sí",IF(L350="Autónomos",Configuración!$B$11="Sí",IF(L350="Responsable inscripto",Configuración!$B$12="Sí",IF(L350="Empleador",Configuración!$B$13="Sí",IF(L350="Casas particulares",Configuración!$B$14="Sí",IF(L350="Retenciones",Configuración!$B$15="Sí",IF(L350="Sociedad",Configuración!$B$16="Sí",IF(L350="Persona humana",Configuración!$B$17="Sí",IF(L350="Convenio Multilateral",Configuración!$B$18="Sí",FALSE()))))))))))</f>
        <v>0</v>
      </c>
      <c r="N350" s="68" t="str">
        <f>IF(M350=1,COUNTIF($M$2:M350,1),"")</f>
        <v/>
      </c>
      <c r="O350" s="50">
        <f t="shared" ca="1" si="20"/>
        <v>110</v>
      </c>
      <c r="P350" s="17" t="str">
        <f t="shared" ca="1" si="21"/>
        <v>Faltan 110 días</v>
      </c>
      <c r="Q350" s="50">
        <f t="shared" si="22"/>
        <v>46363</v>
      </c>
      <c r="R350" s="17" t="str">
        <f>IF(M350=1,COUNTIFS($Q$2:Q350,Q350,$M$2:M350,1),"")</f>
        <v/>
      </c>
      <c r="S350" s="50" t="str">
        <f t="shared" si="23"/>
        <v/>
      </c>
    </row>
    <row r="351" spans="1:19" ht="45" customHeight="1" x14ac:dyDescent="0.35">
      <c r="A351" s="66">
        <v>46363</v>
      </c>
      <c r="B351" s="67" t="s">
        <v>91</v>
      </c>
      <c r="C351" s="67" t="s">
        <v>92</v>
      </c>
      <c r="D351" s="67" t="s">
        <v>93</v>
      </c>
      <c r="E351" s="67" t="s">
        <v>89</v>
      </c>
      <c r="F351" s="67" t="s">
        <v>187</v>
      </c>
      <c r="G351" s="67" t="s">
        <v>94</v>
      </c>
      <c r="H351" s="67" t="s">
        <v>87</v>
      </c>
      <c r="I351" s="67" t="s">
        <v>50</v>
      </c>
      <c r="J351" s="67" t="s">
        <v>88</v>
      </c>
      <c r="K351" s="67"/>
      <c r="L351" s="68" t="s">
        <v>95</v>
      </c>
      <c r="M351" s="68">
        <f>--AND(Configuración!$B$6&lt;&gt;"",OR(E351="Todas",ISNUMBER(SEARCH(Configuración!$B$7,E351))),IF(L351="Monotributo",Configuración!$B$10="Sí",IF(L351="Autónomos",Configuración!$B$11="Sí",IF(L351="Responsable inscripto",Configuración!$B$12="Sí",IF(L351="Empleador",Configuración!$B$13="Sí",IF(L351="Casas particulares",Configuración!$B$14="Sí",IF(L351="Retenciones",Configuración!$B$15="Sí",IF(L351="Sociedad",Configuración!$B$16="Sí",IF(L351="Persona humana",Configuración!$B$17="Sí",IF(L351="Convenio Multilateral",Configuración!$B$18="Sí",FALSE()))))))))))</f>
        <v>0</v>
      </c>
      <c r="N351" s="68" t="str">
        <f>IF(M351=1,COUNTIF($M$2:M351,1),"")</f>
        <v/>
      </c>
      <c r="O351" s="50">
        <f t="shared" ca="1" si="20"/>
        <v>110</v>
      </c>
      <c r="P351" s="17" t="str">
        <f t="shared" ca="1" si="21"/>
        <v>Faltan 110 días</v>
      </c>
      <c r="Q351" s="50">
        <f t="shared" si="22"/>
        <v>46363</v>
      </c>
      <c r="R351" s="17" t="str">
        <f>IF(M351=1,COUNTIFS($Q$2:Q351,Q351,$M$2:M351,1),"")</f>
        <v/>
      </c>
      <c r="S351" s="50" t="str">
        <f t="shared" si="23"/>
        <v/>
      </c>
    </row>
    <row r="352" spans="1:19" ht="45" customHeight="1" x14ac:dyDescent="0.35">
      <c r="A352" s="66">
        <v>46363</v>
      </c>
      <c r="B352" s="67" t="s">
        <v>91</v>
      </c>
      <c r="C352" s="67" t="s">
        <v>92</v>
      </c>
      <c r="D352" s="67" t="s">
        <v>93</v>
      </c>
      <c r="E352" s="67" t="s">
        <v>90</v>
      </c>
      <c r="F352" s="67" t="s">
        <v>187</v>
      </c>
      <c r="G352" s="67" t="s">
        <v>94</v>
      </c>
      <c r="H352" s="67" t="s">
        <v>87</v>
      </c>
      <c r="I352" s="67" t="s">
        <v>50</v>
      </c>
      <c r="J352" s="67" t="s">
        <v>88</v>
      </c>
      <c r="K352" s="67"/>
      <c r="L352" s="68" t="s">
        <v>95</v>
      </c>
      <c r="M352" s="68">
        <f>--AND(Configuración!$B$6&lt;&gt;"",OR(E352="Todas",ISNUMBER(SEARCH(Configuración!$B$7,E352))),IF(L352="Monotributo",Configuración!$B$10="Sí",IF(L352="Autónomos",Configuración!$B$11="Sí",IF(L352="Responsable inscripto",Configuración!$B$12="Sí",IF(L352="Empleador",Configuración!$B$13="Sí",IF(L352="Casas particulares",Configuración!$B$14="Sí",IF(L352="Retenciones",Configuración!$B$15="Sí",IF(L352="Sociedad",Configuración!$B$16="Sí",IF(L352="Persona humana",Configuración!$B$17="Sí",IF(L352="Convenio Multilateral",Configuración!$B$18="Sí",FALSE()))))))))))</f>
        <v>0</v>
      </c>
      <c r="N352" s="68" t="str">
        <f>IF(M352=1,COUNTIF($M$2:M352,1),"")</f>
        <v/>
      </c>
      <c r="O352" s="50">
        <f t="shared" ca="1" si="20"/>
        <v>110</v>
      </c>
      <c r="P352" s="17" t="str">
        <f t="shared" ca="1" si="21"/>
        <v>Faltan 110 días</v>
      </c>
      <c r="Q352" s="50">
        <f t="shared" si="22"/>
        <v>46363</v>
      </c>
      <c r="R352" s="17" t="str">
        <f>IF(M352=1,COUNTIFS($Q$2:Q352,Q352,$M$2:M352,1),"")</f>
        <v/>
      </c>
      <c r="S352" s="50" t="str">
        <f t="shared" si="23"/>
        <v/>
      </c>
    </row>
    <row r="353" spans="1:19" ht="45" customHeight="1" x14ac:dyDescent="0.35">
      <c r="A353" s="66">
        <v>46365</v>
      </c>
      <c r="B353" s="67" t="s">
        <v>96</v>
      </c>
      <c r="C353" s="67" t="s">
        <v>97</v>
      </c>
      <c r="D353" s="67" t="s">
        <v>98</v>
      </c>
      <c r="E353" s="67" t="s">
        <v>89</v>
      </c>
      <c r="F353" s="67" t="s">
        <v>187</v>
      </c>
      <c r="G353" s="67" t="s">
        <v>94</v>
      </c>
      <c r="H353" s="67" t="s">
        <v>87</v>
      </c>
      <c r="I353" s="67" t="s">
        <v>50</v>
      </c>
      <c r="J353" s="67" t="s">
        <v>88</v>
      </c>
      <c r="K353" s="67"/>
      <c r="L353" s="68" t="s">
        <v>99</v>
      </c>
      <c r="M353" s="68">
        <f>--AND(Configuración!$B$6&lt;&gt;"",OR(E353="Todas",ISNUMBER(SEARCH(Configuración!$B$7,E353))),IF(L353="Monotributo",Configuración!$B$10="Sí",IF(L353="Autónomos",Configuración!$B$11="Sí",IF(L353="Responsable inscripto",Configuración!$B$12="Sí",IF(L353="Empleador",Configuración!$B$13="Sí",IF(L353="Casas particulares",Configuración!$B$14="Sí",IF(L353="Retenciones",Configuración!$B$15="Sí",IF(L353="Sociedad",Configuración!$B$16="Sí",IF(L353="Persona humana",Configuración!$B$17="Sí",IF(L353="Convenio Multilateral",Configuración!$B$18="Sí",FALSE()))))))))))</f>
        <v>0</v>
      </c>
      <c r="N353" s="68" t="str">
        <f>IF(M353=1,COUNTIF($M$2:M353,1),"")</f>
        <v/>
      </c>
      <c r="O353" s="50">
        <f t="shared" ca="1" si="20"/>
        <v>112</v>
      </c>
      <c r="P353" s="17" t="str">
        <f t="shared" ca="1" si="21"/>
        <v>Faltan 112 días</v>
      </c>
      <c r="Q353" s="50">
        <f t="shared" si="22"/>
        <v>46365</v>
      </c>
      <c r="R353" s="17" t="str">
        <f>IF(M353=1,COUNTIFS($Q$2:Q353,Q353,$M$2:M353,1),"")</f>
        <v/>
      </c>
      <c r="S353" s="50" t="str">
        <f t="shared" si="23"/>
        <v/>
      </c>
    </row>
    <row r="354" spans="1:19" ht="45" customHeight="1" x14ac:dyDescent="0.35">
      <c r="A354" s="66">
        <v>46365</v>
      </c>
      <c r="B354" s="67" t="s">
        <v>96</v>
      </c>
      <c r="C354" s="67" t="s">
        <v>97</v>
      </c>
      <c r="D354" s="67" t="s">
        <v>98</v>
      </c>
      <c r="E354" s="67" t="s">
        <v>90</v>
      </c>
      <c r="F354" s="67" t="s">
        <v>187</v>
      </c>
      <c r="G354" s="67" t="s">
        <v>94</v>
      </c>
      <c r="H354" s="67" t="s">
        <v>87</v>
      </c>
      <c r="I354" s="67" t="s">
        <v>50</v>
      </c>
      <c r="J354" s="67" t="s">
        <v>88</v>
      </c>
      <c r="K354" s="67"/>
      <c r="L354" s="68" t="s">
        <v>99</v>
      </c>
      <c r="M354" s="68">
        <f>--AND(Configuración!$B$6&lt;&gt;"",OR(E354="Todas",ISNUMBER(SEARCH(Configuración!$B$7,E354))),IF(L354="Monotributo",Configuración!$B$10="Sí",IF(L354="Autónomos",Configuración!$B$11="Sí",IF(L354="Responsable inscripto",Configuración!$B$12="Sí",IF(L354="Empleador",Configuración!$B$13="Sí",IF(L354="Casas particulares",Configuración!$B$14="Sí",IF(L354="Retenciones",Configuración!$B$15="Sí",IF(L354="Sociedad",Configuración!$B$16="Sí",IF(L354="Persona humana",Configuración!$B$17="Sí",IF(L354="Convenio Multilateral",Configuración!$B$18="Sí",FALSE()))))))))))</f>
        <v>0</v>
      </c>
      <c r="N354" s="68" t="str">
        <f>IF(M354=1,COUNTIF($M$2:M354,1),"")</f>
        <v/>
      </c>
      <c r="O354" s="50">
        <f t="shared" ca="1" si="20"/>
        <v>112</v>
      </c>
      <c r="P354" s="17" t="str">
        <f t="shared" ca="1" si="21"/>
        <v>Faltan 112 días</v>
      </c>
      <c r="Q354" s="50">
        <f t="shared" si="22"/>
        <v>46365</v>
      </c>
      <c r="R354" s="17" t="str">
        <f>IF(M354=1,COUNTIFS($Q$2:Q354,Q354,$M$2:M354,1),"")</f>
        <v/>
      </c>
      <c r="S354" s="50" t="str">
        <f t="shared" si="23"/>
        <v/>
      </c>
    </row>
    <row r="355" spans="1:19" ht="45" customHeight="1" x14ac:dyDescent="0.35">
      <c r="A355" s="66">
        <v>46365</v>
      </c>
      <c r="B355" s="67" t="s">
        <v>100</v>
      </c>
      <c r="C355" s="67" t="s">
        <v>101</v>
      </c>
      <c r="D355" s="67" t="s">
        <v>93</v>
      </c>
      <c r="E355" s="67" t="s">
        <v>84</v>
      </c>
      <c r="F355" s="67" t="s">
        <v>187</v>
      </c>
      <c r="G355" s="67" t="s">
        <v>94</v>
      </c>
      <c r="H355" s="67" t="s">
        <v>87</v>
      </c>
      <c r="I355" s="67" t="s">
        <v>50</v>
      </c>
      <c r="J355" s="67" t="s">
        <v>88</v>
      </c>
      <c r="K355" s="67"/>
      <c r="L355" s="68" t="s">
        <v>95</v>
      </c>
      <c r="M355" s="68">
        <f>--AND(Configuración!$B$6&lt;&gt;"",OR(E355="Todas",ISNUMBER(SEARCH(Configuración!$B$7,E355))),IF(L355="Monotributo",Configuración!$B$10="Sí",IF(L355="Autónomos",Configuración!$B$11="Sí",IF(L355="Responsable inscripto",Configuración!$B$12="Sí",IF(L355="Empleador",Configuración!$B$13="Sí",IF(L355="Casas particulares",Configuración!$B$14="Sí",IF(L355="Retenciones",Configuración!$B$15="Sí",IF(L355="Sociedad",Configuración!$B$16="Sí",IF(L355="Persona humana",Configuración!$B$17="Sí",IF(L355="Convenio Multilateral",Configuración!$B$18="Sí",FALSE()))))))))))</f>
        <v>0</v>
      </c>
      <c r="N355" s="68" t="str">
        <f>IF(M355=1,COUNTIF($M$2:M355,1),"")</f>
        <v/>
      </c>
      <c r="O355" s="50">
        <f t="shared" ca="1" si="20"/>
        <v>112</v>
      </c>
      <c r="P355" s="17" t="str">
        <f t="shared" ca="1" si="21"/>
        <v>Faltan 112 días</v>
      </c>
      <c r="Q355" s="50">
        <f t="shared" si="22"/>
        <v>46365</v>
      </c>
      <c r="R355" s="17" t="str">
        <f>IF(M355=1,COUNTIFS($Q$2:Q355,Q355,$M$2:M355,1),"")</f>
        <v/>
      </c>
      <c r="S355" s="50" t="str">
        <f t="shared" si="23"/>
        <v/>
      </c>
    </row>
    <row r="356" spans="1:19" ht="45" customHeight="1" x14ac:dyDescent="0.35">
      <c r="A356" s="66">
        <v>46366</v>
      </c>
      <c r="B356" s="67" t="s">
        <v>29</v>
      </c>
      <c r="C356" s="67" t="s">
        <v>102</v>
      </c>
      <c r="D356" s="67" t="s">
        <v>103</v>
      </c>
      <c r="E356" s="67" t="s">
        <v>104</v>
      </c>
      <c r="F356" s="67" t="s">
        <v>187</v>
      </c>
      <c r="G356" s="67" t="s">
        <v>86</v>
      </c>
      <c r="H356" s="67" t="s">
        <v>87</v>
      </c>
      <c r="I356" s="67" t="s">
        <v>50</v>
      </c>
      <c r="J356" s="67" t="s">
        <v>88</v>
      </c>
      <c r="K356" s="67"/>
      <c r="L356" s="68" t="s">
        <v>29</v>
      </c>
      <c r="M356" s="68">
        <f>--AND(Configuración!$B$6&lt;&gt;"",OR(E356="Todas",ISNUMBER(SEARCH(Configuración!$B$7,E356))),IF(L356="Monotributo",Configuración!$B$10="Sí",IF(L356="Autónomos",Configuración!$B$11="Sí",IF(L356="Responsable inscripto",Configuración!$B$12="Sí",IF(L356="Empleador",Configuración!$B$13="Sí",IF(L356="Casas particulares",Configuración!$B$14="Sí",IF(L356="Retenciones",Configuración!$B$15="Sí",IF(L356="Sociedad",Configuración!$B$16="Sí",IF(L356="Persona humana",Configuración!$B$17="Sí",IF(L356="Convenio Multilateral",Configuración!$B$18="Sí",FALSE()))))))))))</f>
        <v>0</v>
      </c>
      <c r="N356" s="68" t="str">
        <f>IF(M356=1,COUNTIF($M$2:M356,1),"")</f>
        <v/>
      </c>
      <c r="O356" s="50">
        <f t="shared" ca="1" si="20"/>
        <v>113</v>
      </c>
      <c r="P356" s="17" t="str">
        <f t="shared" ca="1" si="21"/>
        <v>Faltan 113 días</v>
      </c>
      <c r="Q356" s="50">
        <f t="shared" si="22"/>
        <v>46366</v>
      </c>
      <c r="R356" s="17" t="str">
        <f>IF(M356=1,COUNTIFS($Q$2:Q356,Q356,$M$2:M356,1),"")</f>
        <v/>
      </c>
      <c r="S356" s="50" t="str">
        <f t="shared" si="23"/>
        <v/>
      </c>
    </row>
    <row r="357" spans="1:19" ht="45" customHeight="1" x14ac:dyDescent="0.35">
      <c r="A357" s="66">
        <v>46366</v>
      </c>
      <c r="B357" s="67" t="s">
        <v>100</v>
      </c>
      <c r="C357" s="67" t="s">
        <v>101</v>
      </c>
      <c r="D357" s="67" t="s">
        <v>93</v>
      </c>
      <c r="E357" s="67" t="s">
        <v>89</v>
      </c>
      <c r="F357" s="67" t="s">
        <v>187</v>
      </c>
      <c r="G357" s="67" t="s">
        <v>94</v>
      </c>
      <c r="H357" s="67" t="s">
        <v>87</v>
      </c>
      <c r="I357" s="67" t="s">
        <v>50</v>
      </c>
      <c r="J357" s="67" t="s">
        <v>88</v>
      </c>
      <c r="K357" s="67"/>
      <c r="L357" s="68" t="s">
        <v>95</v>
      </c>
      <c r="M357" s="68">
        <f>--AND(Configuración!$B$6&lt;&gt;"",OR(E357="Todas",ISNUMBER(SEARCH(Configuración!$B$7,E357))),IF(L357="Monotributo",Configuración!$B$10="Sí",IF(L357="Autónomos",Configuración!$B$11="Sí",IF(L357="Responsable inscripto",Configuración!$B$12="Sí",IF(L357="Empleador",Configuración!$B$13="Sí",IF(L357="Casas particulares",Configuración!$B$14="Sí",IF(L357="Retenciones",Configuración!$B$15="Sí",IF(L357="Sociedad",Configuración!$B$16="Sí",IF(L357="Persona humana",Configuración!$B$17="Sí",IF(L357="Convenio Multilateral",Configuración!$B$18="Sí",FALSE()))))))))))</f>
        <v>0</v>
      </c>
      <c r="N357" s="68" t="str">
        <f>IF(M357=1,COUNTIF($M$2:M357,1),"")</f>
        <v/>
      </c>
      <c r="O357" s="50">
        <f t="shared" ca="1" si="20"/>
        <v>113</v>
      </c>
      <c r="P357" s="17" t="str">
        <f t="shared" ca="1" si="21"/>
        <v>Faltan 113 días</v>
      </c>
      <c r="Q357" s="50">
        <f t="shared" si="22"/>
        <v>46366</v>
      </c>
      <c r="R357" s="17" t="str">
        <f>IF(M357=1,COUNTIFS($Q$2:Q357,Q357,$M$2:M357,1),"")</f>
        <v/>
      </c>
      <c r="S357" s="50" t="str">
        <f t="shared" si="23"/>
        <v/>
      </c>
    </row>
    <row r="358" spans="1:19" ht="45" customHeight="1" x14ac:dyDescent="0.35">
      <c r="A358" s="66">
        <v>46367</v>
      </c>
      <c r="B358" s="67" t="s">
        <v>100</v>
      </c>
      <c r="C358" s="67" t="s">
        <v>101</v>
      </c>
      <c r="D358" s="67" t="s">
        <v>93</v>
      </c>
      <c r="E358" s="67" t="s">
        <v>90</v>
      </c>
      <c r="F358" s="67" t="s">
        <v>187</v>
      </c>
      <c r="G358" s="67" t="s">
        <v>94</v>
      </c>
      <c r="H358" s="67" t="s">
        <v>87</v>
      </c>
      <c r="I358" s="67" t="s">
        <v>50</v>
      </c>
      <c r="J358" s="67" t="s">
        <v>88</v>
      </c>
      <c r="K358" s="67"/>
      <c r="L358" s="68" t="s">
        <v>95</v>
      </c>
      <c r="M358" s="68">
        <f>--AND(Configuración!$B$6&lt;&gt;"",OR(E358="Todas",ISNUMBER(SEARCH(Configuración!$B$7,E358))),IF(L358="Monotributo",Configuración!$B$10="Sí",IF(L358="Autónomos",Configuración!$B$11="Sí",IF(L358="Responsable inscripto",Configuración!$B$12="Sí",IF(L358="Empleador",Configuración!$B$13="Sí",IF(L358="Casas particulares",Configuración!$B$14="Sí",IF(L358="Retenciones",Configuración!$B$15="Sí",IF(L358="Sociedad",Configuración!$B$16="Sí",IF(L358="Persona humana",Configuración!$B$17="Sí",IF(L358="Convenio Multilateral",Configuración!$B$18="Sí",FALSE()))))))))))</f>
        <v>0</v>
      </c>
      <c r="N358" s="68" t="str">
        <f>IF(M358=1,COUNTIF($M$2:M358,1),"")</f>
        <v/>
      </c>
      <c r="O358" s="50">
        <f t="shared" ca="1" si="20"/>
        <v>114</v>
      </c>
      <c r="P358" s="17" t="str">
        <f t="shared" ca="1" si="21"/>
        <v>Faltan 114 días</v>
      </c>
      <c r="Q358" s="50">
        <f t="shared" si="22"/>
        <v>46367</v>
      </c>
      <c r="R358" s="17" t="str">
        <f>IF(M358=1,COUNTIFS($Q$2:Q358,Q358,$M$2:M358,1),"")</f>
        <v/>
      </c>
      <c r="S358" s="50" t="str">
        <f t="shared" si="23"/>
        <v/>
      </c>
    </row>
    <row r="359" spans="1:19" ht="45" customHeight="1" x14ac:dyDescent="0.35">
      <c r="A359" s="66">
        <v>46370.625</v>
      </c>
      <c r="B359" s="67" t="s">
        <v>105</v>
      </c>
      <c r="C359" s="67" t="s">
        <v>106</v>
      </c>
      <c r="D359" s="67" t="s">
        <v>107</v>
      </c>
      <c r="E359" s="67" t="s">
        <v>84</v>
      </c>
      <c r="F359" s="67" t="s">
        <v>178</v>
      </c>
      <c r="G359" s="67" t="s">
        <v>109</v>
      </c>
      <c r="H359" s="67" t="s">
        <v>87</v>
      </c>
      <c r="I359" s="67" t="s">
        <v>50</v>
      </c>
      <c r="J359" s="67" t="s">
        <v>110</v>
      </c>
      <c r="K359" s="67" t="s">
        <v>111</v>
      </c>
      <c r="L359" s="68" t="s">
        <v>112</v>
      </c>
      <c r="M359" s="68">
        <f>--AND(Configuración!$B$6&lt;&gt;"",OR(E359="Todas",ISNUMBER(SEARCH(Configuración!$B$7,E359))),IF(L359="Monotributo",Configuración!$B$10="Sí",IF(L359="Autónomos",Configuración!$B$11="Sí",IF(L359="Responsable inscripto",Configuración!$B$12="Sí",IF(L359="Empleador",Configuración!$B$13="Sí",IF(L359="Casas particulares",Configuración!$B$14="Sí",IF(L359="Retenciones",Configuración!$B$15="Sí",IF(L359="Sociedad",Configuración!$B$16="Sí",IF(L359="Persona humana",Configuración!$B$17="Sí",IF(L359="Convenio Multilateral",Configuración!$B$18="Sí",FALSE()))))))))))</f>
        <v>0</v>
      </c>
      <c r="N359" s="68" t="str">
        <f>IF(M359=1,COUNTIF($M$2:M359,1),"")</f>
        <v/>
      </c>
      <c r="O359" s="50">
        <f t="shared" ca="1" si="20"/>
        <v>117</v>
      </c>
      <c r="P359" s="17" t="str">
        <f t="shared" ca="1" si="21"/>
        <v>Faltan 117 días</v>
      </c>
      <c r="Q359" s="50">
        <f t="shared" si="22"/>
        <v>46370</v>
      </c>
      <c r="R359" s="17" t="str">
        <f>IF(M359=1,COUNTIFS($Q$2:Q359,Q359,$M$2:M359,1),"")</f>
        <v/>
      </c>
      <c r="S359" s="50" t="str">
        <f t="shared" si="23"/>
        <v/>
      </c>
    </row>
    <row r="360" spans="1:19" ht="45" customHeight="1" x14ac:dyDescent="0.35">
      <c r="A360" s="66">
        <v>46371</v>
      </c>
      <c r="B360" s="67" t="s">
        <v>29</v>
      </c>
      <c r="C360" s="67" t="s">
        <v>113</v>
      </c>
      <c r="D360" s="67" t="s">
        <v>114</v>
      </c>
      <c r="E360" s="67" t="s">
        <v>104</v>
      </c>
      <c r="F360" s="67" t="s">
        <v>187</v>
      </c>
      <c r="G360" s="67" t="s">
        <v>86</v>
      </c>
      <c r="H360" s="67" t="s">
        <v>87</v>
      </c>
      <c r="I360" s="67" t="s">
        <v>50</v>
      </c>
      <c r="J360" s="67" t="s">
        <v>88</v>
      </c>
      <c r="K360" s="67"/>
      <c r="L360" s="68" t="s">
        <v>29</v>
      </c>
      <c r="M360" s="68">
        <f>--AND(Configuración!$B$6&lt;&gt;"",OR(E360="Todas",ISNUMBER(SEARCH(Configuración!$B$7,E360))),IF(L360="Monotributo",Configuración!$B$10="Sí",IF(L360="Autónomos",Configuración!$B$11="Sí",IF(L360="Responsable inscripto",Configuración!$B$12="Sí",IF(L360="Empleador",Configuración!$B$13="Sí",IF(L360="Casas particulares",Configuración!$B$14="Sí",IF(L360="Retenciones",Configuración!$B$15="Sí",IF(L360="Sociedad",Configuración!$B$16="Sí",IF(L360="Persona humana",Configuración!$B$17="Sí",IF(L360="Convenio Multilateral",Configuración!$B$18="Sí",FALSE()))))))))))</f>
        <v>0</v>
      </c>
      <c r="N360" s="68" t="str">
        <f>IF(M360=1,COUNTIF($M$2:M360,1),"")</f>
        <v/>
      </c>
      <c r="O360" s="50">
        <f t="shared" ca="1" si="20"/>
        <v>118</v>
      </c>
      <c r="P360" s="17" t="str">
        <f t="shared" ca="1" si="21"/>
        <v>Faltan 118 días</v>
      </c>
      <c r="Q360" s="50">
        <f t="shared" si="22"/>
        <v>46371</v>
      </c>
      <c r="R360" s="17" t="str">
        <f>IF(M360=1,COUNTIFS($Q$2:Q360,Q360,$M$2:M360,1),"")</f>
        <v/>
      </c>
      <c r="S360" s="50" t="str">
        <f t="shared" si="23"/>
        <v/>
      </c>
    </row>
    <row r="361" spans="1:19" ht="45" customHeight="1" x14ac:dyDescent="0.35">
      <c r="A361" s="66">
        <v>46371.625</v>
      </c>
      <c r="B361" s="67" t="s">
        <v>105</v>
      </c>
      <c r="C361" s="67" t="s">
        <v>106</v>
      </c>
      <c r="D361" s="67" t="s">
        <v>107</v>
      </c>
      <c r="E361" s="67" t="s">
        <v>89</v>
      </c>
      <c r="F361" s="67" t="s">
        <v>178</v>
      </c>
      <c r="G361" s="67" t="s">
        <v>109</v>
      </c>
      <c r="H361" s="67" t="s">
        <v>87</v>
      </c>
      <c r="I361" s="67" t="s">
        <v>50</v>
      </c>
      <c r="J361" s="67" t="s">
        <v>110</v>
      </c>
      <c r="K361" s="67" t="s">
        <v>111</v>
      </c>
      <c r="L361" s="68" t="s">
        <v>112</v>
      </c>
      <c r="M361" s="68">
        <f>--AND(Configuración!$B$6&lt;&gt;"",OR(E361="Todas",ISNUMBER(SEARCH(Configuración!$B$7,E361))),IF(L361="Monotributo",Configuración!$B$10="Sí",IF(L361="Autónomos",Configuración!$B$11="Sí",IF(L361="Responsable inscripto",Configuración!$B$12="Sí",IF(L361="Empleador",Configuración!$B$13="Sí",IF(L361="Casas particulares",Configuración!$B$14="Sí",IF(L361="Retenciones",Configuración!$B$15="Sí",IF(L361="Sociedad",Configuración!$B$16="Sí",IF(L361="Persona humana",Configuración!$B$17="Sí",IF(L361="Convenio Multilateral",Configuración!$B$18="Sí",FALSE()))))))))))</f>
        <v>0</v>
      </c>
      <c r="N361" s="68" t="str">
        <f>IF(M361=1,COUNTIF($M$2:M361,1),"")</f>
        <v/>
      </c>
      <c r="O361" s="50">
        <f t="shared" ca="1" si="20"/>
        <v>118</v>
      </c>
      <c r="P361" s="17" t="str">
        <f t="shared" ca="1" si="21"/>
        <v>Faltan 118 días</v>
      </c>
      <c r="Q361" s="50">
        <f t="shared" si="22"/>
        <v>46371</v>
      </c>
      <c r="R361" s="17" t="str">
        <f>IF(M361=1,COUNTIFS($Q$2:Q361,Q361,$M$2:M361,1),"")</f>
        <v/>
      </c>
      <c r="S361" s="50" t="str">
        <f t="shared" si="23"/>
        <v/>
      </c>
    </row>
    <row r="362" spans="1:19" ht="45" customHeight="1" x14ac:dyDescent="0.35">
      <c r="A362" s="66">
        <v>46371.625</v>
      </c>
      <c r="B362" s="67" t="s">
        <v>137</v>
      </c>
      <c r="C362" s="67" t="s">
        <v>138</v>
      </c>
      <c r="D362" s="67" t="s">
        <v>139</v>
      </c>
      <c r="E362" s="67" t="s">
        <v>140</v>
      </c>
      <c r="F362" s="67" t="s">
        <v>188</v>
      </c>
      <c r="G362" s="67" t="s">
        <v>94</v>
      </c>
      <c r="H362" s="67" t="s">
        <v>142</v>
      </c>
      <c r="I362" s="67" t="s">
        <v>50</v>
      </c>
      <c r="J362" s="67" t="s">
        <v>150</v>
      </c>
      <c r="K362" s="67" t="s">
        <v>151</v>
      </c>
      <c r="L362" s="68" t="s">
        <v>33</v>
      </c>
      <c r="M362" s="68">
        <f>--AND(Configuración!$B$6&lt;&gt;"",OR(E362="Todas",ISNUMBER(SEARCH(Configuración!$B$7,E362))),IF(L362="Monotributo",Configuración!$B$10="Sí",IF(L362="Autónomos",Configuración!$B$11="Sí",IF(L362="Responsable inscripto",Configuración!$B$12="Sí",IF(L362="Empleador",Configuración!$B$13="Sí",IF(L362="Casas particulares",Configuración!$B$14="Sí",IF(L362="Retenciones",Configuración!$B$15="Sí",IF(L362="Sociedad",Configuración!$B$16="Sí",IF(L362="Persona humana",Configuración!$B$17="Sí",IF(L362="Convenio Multilateral",Configuración!$B$18="Sí",FALSE()))))))))))</f>
        <v>0</v>
      </c>
      <c r="N362" s="68" t="str">
        <f>IF(M362=1,COUNTIF($M$2:M362,1),"")</f>
        <v/>
      </c>
      <c r="O362" s="50">
        <f t="shared" ca="1" si="20"/>
        <v>118</v>
      </c>
      <c r="P362" s="17" t="str">
        <f t="shared" ca="1" si="21"/>
        <v>Faltan 118 días</v>
      </c>
      <c r="Q362" s="50">
        <f t="shared" si="22"/>
        <v>46371</v>
      </c>
      <c r="R362" s="17" t="str">
        <f>IF(M362=1,COUNTIFS($Q$2:Q362,Q362,$M$2:M362,1),"")</f>
        <v/>
      </c>
      <c r="S362" s="50" t="str">
        <f t="shared" si="23"/>
        <v/>
      </c>
    </row>
    <row r="363" spans="1:19" ht="45" customHeight="1" x14ac:dyDescent="0.35">
      <c r="A363" s="66">
        <v>46372.625</v>
      </c>
      <c r="B363" s="67" t="s">
        <v>105</v>
      </c>
      <c r="C363" s="67" t="s">
        <v>106</v>
      </c>
      <c r="D363" s="67" t="s">
        <v>107</v>
      </c>
      <c r="E363" s="67" t="s">
        <v>90</v>
      </c>
      <c r="F363" s="67" t="s">
        <v>178</v>
      </c>
      <c r="G363" s="67" t="s">
        <v>109</v>
      </c>
      <c r="H363" s="67" t="s">
        <v>87</v>
      </c>
      <c r="I363" s="67" t="s">
        <v>50</v>
      </c>
      <c r="J363" s="67" t="s">
        <v>110</v>
      </c>
      <c r="K363" s="67" t="s">
        <v>111</v>
      </c>
      <c r="L363" s="68" t="s">
        <v>112</v>
      </c>
      <c r="M363" s="68">
        <f>--AND(Configuración!$B$6&lt;&gt;"",OR(E363="Todas",ISNUMBER(SEARCH(Configuración!$B$7,E363))),IF(L363="Monotributo",Configuración!$B$10="Sí",IF(L363="Autónomos",Configuración!$B$11="Sí",IF(L363="Responsable inscripto",Configuración!$B$12="Sí",IF(L363="Empleador",Configuración!$B$13="Sí",IF(L363="Casas particulares",Configuración!$B$14="Sí",IF(L363="Retenciones",Configuración!$B$15="Sí",IF(L363="Sociedad",Configuración!$B$16="Sí",IF(L363="Persona humana",Configuración!$B$17="Sí",IF(L363="Convenio Multilateral",Configuración!$B$18="Sí",FALSE()))))))))))</f>
        <v>0</v>
      </c>
      <c r="N363" s="68" t="str">
        <f>IF(M363=1,COUNTIF($M$2:M363,1),"")</f>
        <v/>
      </c>
      <c r="O363" s="50">
        <f t="shared" ca="1" si="20"/>
        <v>119</v>
      </c>
      <c r="P363" s="17" t="str">
        <f t="shared" ca="1" si="21"/>
        <v>Faltan 119 días</v>
      </c>
      <c r="Q363" s="50">
        <f t="shared" si="22"/>
        <v>46372</v>
      </c>
      <c r="R363" s="17" t="str">
        <f>IF(M363=1,COUNTIFS($Q$2:Q363,Q363,$M$2:M363,1),"")</f>
        <v/>
      </c>
      <c r="S363" s="50" t="str">
        <f t="shared" si="23"/>
        <v/>
      </c>
    </row>
    <row r="364" spans="1:19" ht="45" customHeight="1" x14ac:dyDescent="0.35">
      <c r="A364" s="66">
        <v>46372.625</v>
      </c>
      <c r="B364" s="67" t="s">
        <v>137</v>
      </c>
      <c r="C364" s="67" t="s">
        <v>138</v>
      </c>
      <c r="D364" s="67" t="s">
        <v>139</v>
      </c>
      <c r="E364" s="67" t="s">
        <v>145</v>
      </c>
      <c r="F364" s="67" t="s">
        <v>188</v>
      </c>
      <c r="G364" s="67" t="s">
        <v>94</v>
      </c>
      <c r="H364" s="67" t="s">
        <v>142</v>
      </c>
      <c r="I364" s="67" t="s">
        <v>50</v>
      </c>
      <c r="J364" s="67" t="s">
        <v>150</v>
      </c>
      <c r="K364" s="67" t="s">
        <v>151</v>
      </c>
      <c r="L364" s="68" t="s">
        <v>33</v>
      </c>
      <c r="M364" s="68">
        <f>--AND(Configuración!$B$6&lt;&gt;"",OR(E364="Todas",ISNUMBER(SEARCH(Configuración!$B$7,E364))),IF(L364="Monotributo",Configuración!$B$10="Sí",IF(L364="Autónomos",Configuración!$B$11="Sí",IF(L364="Responsable inscripto",Configuración!$B$12="Sí",IF(L364="Empleador",Configuración!$B$13="Sí",IF(L364="Casas particulares",Configuración!$B$14="Sí",IF(L364="Retenciones",Configuración!$B$15="Sí",IF(L364="Sociedad",Configuración!$B$16="Sí",IF(L364="Persona humana",Configuración!$B$17="Sí",IF(L364="Convenio Multilateral",Configuración!$B$18="Sí",FALSE()))))))))))</f>
        <v>0</v>
      </c>
      <c r="N364" s="68" t="str">
        <f>IF(M364=1,COUNTIF($M$2:M364,1),"")</f>
        <v/>
      </c>
      <c r="O364" s="50">
        <f t="shared" ca="1" si="20"/>
        <v>119</v>
      </c>
      <c r="P364" s="17" t="str">
        <f t="shared" ca="1" si="21"/>
        <v>Faltan 119 días</v>
      </c>
      <c r="Q364" s="50">
        <f t="shared" si="22"/>
        <v>46372</v>
      </c>
      <c r="R364" s="17" t="str">
        <f>IF(M364=1,COUNTIFS($Q$2:Q364,Q364,$M$2:M364,1),"")</f>
        <v/>
      </c>
      <c r="S364" s="50" t="str">
        <f t="shared" si="23"/>
        <v/>
      </c>
    </row>
    <row r="365" spans="1:19" ht="45" customHeight="1" x14ac:dyDescent="0.35">
      <c r="A365" s="66">
        <v>46373.625</v>
      </c>
      <c r="B365" s="67" t="s">
        <v>137</v>
      </c>
      <c r="C365" s="67" t="s">
        <v>138</v>
      </c>
      <c r="D365" s="67" t="s">
        <v>139</v>
      </c>
      <c r="E365" s="67" t="s">
        <v>146</v>
      </c>
      <c r="F365" s="67" t="s">
        <v>188</v>
      </c>
      <c r="G365" s="67" t="s">
        <v>94</v>
      </c>
      <c r="H365" s="67" t="s">
        <v>142</v>
      </c>
      <c r="I365" s="67" t="s">
        <v>50</v>
      </c>
      <c r="J365" s="67" t="s">
        <v>150</v>
      </c>
      <c r="K365" s="67" t="s">
        <v>151</v>
      </c>
      <c r="L365" s="68" t="s">
        <v>33</v>
      </c>
      <c r="M365" s="68">
        <f>--AND(Configuración!$B$6&lt;&gt;"",OR(E365="Todas",ISNUMBER(SEARCH(Configuración!$B$7,E365))),IF(L365="Monotributo",Configuración!$B$10="Sí",IF(L365="Autónomos",Configuración!$B$11="Sí",IF(L365="Responsable inscripto",Configuración!$B$12="Sí",IF(L365="Empleador",Configuración!$B$13="Sí",IF(L365="Casas particulares",Configuración!$B$14="Sí",IF(L365="Retenciones",Configuración!$B$15="Sí",IF(L365="Sociedad",Configuración!$B$16="Sí",IF(L365="Persona humana",Configuración!$B$17="Sí",IF(L365="Convenio Multilateral",Configuración!$B$18="Sí",FALSE()))))))))))</f>
        <v>0</v>
      </c>
      <c r="N365" s="68" t="str">
        <f>IF(M365=1,COUNTIF($M$2:M365,1),"")</f>
        <v/>
      </c>
      <c r="O365" s="50">
        <f t="shared" ca="1" si="20"/>
        <v>120</v>
      </c>
      <c r="P365" s="17" t="str">
        <f t="shared" ca="1" si="21"/>
        <v>Faltan 120 días</v>
      </c>
      <c r="Q365" s="50">
        <f t="shared" si="22"/>
        <v>46373</v>
      </c>
      <c r="R365" s="17" t="str">
        <f>IF(M365=1,COUNTIFS($Q$2:Q365,Q365,$M$2:M365,1),"")</f>
        <v/>
      </c>
      <c r="S365" s="50" t="str">
        <f t="shared" si="23"/>
        <v/>
      </c>
    </row>
    <row r="366" spans="1:19" ht="45" customHeight="1" x14ac:dyDescent="0.35">
      <c r="A366" s="66">
        <v>46374</v>
      </c>
      <c r="B366" s="67" t="s">
        <v>115</v>
      </c>
      <c r="C366" s="67" t="s">
        <v>116</v>
      </c>
      <c r="D366" s="67" t="s">
        <v>117</v>
      </c>
      <c r="E366" s="67" t="s">
        <v>84</v>
      </c>
      <c r="F366" s="67" t="s">
        <v>187</v>
      </c>
      <c r="G366" s="67" t="s">
        <v>94</v>
      </c>
      <c r="H366" s="67" t="s">
        <v>87</v>
      </c>
      <c r="I366" s="67" t="s">
        <v>50</v>
      </c>
      <c r="J366" s="67" t="s">
        <v>88</v>
      </c>
      <c r="K366" s="67"/>
      <c r="L366" s="68" t="s">
        <v>118</v>
      </c>
      <c r="M366" s="68">
        <f>--AND(Configuración!$B$6&lt;&gt;"",OR(E366="Todas",ISNUMBER(SEARCH(Configuración!$B$7,E366))),IF(L366="Monotributo",Configuración!$B$10="Sí",IF(L366="Autónomos",Configuración!$B$11="Sí",IF(L366="Responsable inscripto",Configuración!$B$12="Sí",IF(L366="Empleador",Configuración!$B$13="Sí",IF(L366="Casas particulares",Configuración!$B$14="Sí",IF(L366="Retenciones",Configuración!$B$15="Sí",IF(L366="Sociedad",Configuración!$B$16="Sí",IF(L366="Persona humana",Configuración!$B$17="Sí",IF(L366="Convenio Multilateral",Configuración!$B$18="Sí",FALSE()))))))))))</f>
        <v>0</v>
      </c>
      <c r="N366" s="68" t="str">
        <f>IF(M366=1,COUNTIF($M$2:M366,1),"")</f>
        <v/>
      </c>
      <c r="O366" s="50">
        <f t="shared" ca="1" si="20"/>
        <v>121</v>
      </c>
      <c r="P366" s="17" t="str">
        <f t="shared" ca="1" si="21"/>
        <v>Faltan 121 días</v>
      </c>
      <c r="Q366" s="50">
        <f t="shared" si="22"/>
        <v>46374</v>
      </c>
      <c r="R366" s="17" t="str">
        <f>IF(M366=1,COUNTIFS($Q$2:Q366,Q366,$M$2:M366,1),"")</f>
        <v/>
      </c>
      <c r="S366" s="50" t="str">
        <f t="shared" si="23"/>
        <v/>
      </c>
    </row>
    <row r="367" spans="1:19" ht="45" customHeight="1" x14ac:dyDescent="0.35">
      <c r="A367" s="66">
        <v>46374</v>
      </c>
      <c r="B367" s="67" t="s">
        <v>119</v>
      </c>
      <c r="C367" s="67" t="s">
        <v>120</v>
      </c>
      <c r="D367" s="67" t="s">
        <v>121</v>
      </c>
      <c r="E367" s="67" t="s">
        <v>84</v>
      </c>
      <c r="F367" s="67" t="s">
        <v>187</v>
      </c>
      <c r="G367" s="67" t="s">
        <v>94</v>
      </c>
      <c r="H367" s="67" t="s">
        <v>87</v>
      </c>
      <c r="I367" s="67" t="s">
        <v>50</v>
      </c>
      <c r="J367" s="67" t="s">
        <v>88</v>
      </c>
      <c r="K367" s="67"/>
      <c r="L367" s="68" t="s">
        <v>118</v>
      </c>
      <c r="M367" s="68">
        <f>--AND(Configuración!$B$6&lt;&gt;"",OR(E367="Todas",ISNUMBER(SEARCH(Configuración!$B$7,E367))),IF(L367="Monotributo",Configuración!$B$10="Sí",IF(L367="Autónomos",Configuración!$B$11="Sí",IF(L367="Responsable inscripto",Configuración!$B$12="Sí",IF(L367="Empleador",Configuración!$B$13="Sí",IF(L367="Casas particulares",Configuración!$B$14="Sí",IF(L367="Retenciones",Configuración!$B$15="Sí",IF(L367="Sociedad",Configuración!$B$16="Sí",IF(L367="Persona humana",Configuración!$B$17="Sí",IF(L367="Convenio Multilateral",Configuración!$B$18="Sí",FALSE()))))))))))</f>
        <v>0</v>
      </c>
      <c r="N367" s="68" t="str">
        <f>IF(M367=1,COUNTIF($M$2:M367,1),"")</f>
        <v/>
      </c>
      <c r="O367" s="50">
        <f t="shared" ca="1" si="20"/>
        <v>121</v>
      </c>
      <c r="P367" s="17" t="str">
        <f t="shared" ca="1" si="21"/>
        <v>Faltan 121 días</v>
      </c>
      <c r="Q367" s="50">
        <f t="shared" si="22"/>
        <v>46374</v>
      </c>
      <c r="R367" s="17" t="str">
        <f>IF(M367=1,COUNTIFS($Q$2:Q367,Q367,$M$2:M367,1),"")</f>
        <v/>
      </c>
      <c r="S367" s="50" t="str">
        <f t="shared" si="23"/>
        <v/>
      </c>
    </row>
    <row r="368" spans="1:19" ht="45" customHeight="1" x14ac:dyDescent="0.35">
      <c r="A368" s="66">
        <v>46374</v>
      </c>
      <c r="B368" s="67" t="s">
        <v>122</v>
      </c>
      <c r="C368" s="67" t="s">
        <v>123</v>
      </c>
      <c r="D368" s="67" t="s">
        <v>124</v>
      </c>
      <c r="E368" s="67" t="s">
        <v>84</v>
      </c>
      <c r="F368" s="67" t="s">
        <v>187</v>
      </c>
      <c r="G368" s="67" t="s">
        <v>109</v>
      </c>
      <c r="H368" s="67" t="s">
        <v>87</v>
      </c>
      <c r="I368" s="67" t="s">
        <v>50</v>
      </c>
      <c r="J368" s="67" t="s">
        <v>88</v>
      </c>
      <c r="K368" s="67" t="s">
        <v>125</v>
      </c>
      <c r="L368" s="68" t="s">
        <v>118</v>
      </c>
      <c r="M368" s="68">
        <f>--AND(Configuración!$B$6&lt;&gt;"",OR(E368="Todas",ISNUMBER(SEARCH(Configuración!$B$7,E368))),IF(L368="Monotributo",Configuración!$B$10="Sí",IF(L368="Autónomos",Configuración!$B$11="Sí",IF(L368="Responsable inscripto",Configuración!$B$12="Sí",IF(L368="Empleador",Configuración!$B$13="Sí",IF(L368="Casas particulares",Configuración!$B$14="Sí",IF(L368="Retenciones",Configuración!$B$15="Sí",IF(L368="Sociedad",Configuración!$B$16="Sí",IF(L368="Persona humana",Configuración!$B$17="Sí",IF(L368="Convenio Multilateral",Configuración!$B$18="Sí",FALSE()))))))))))</f>
        <v>0</v>
      </c>
      <c r="N368" s="68" t="str">
        <f>IF(M368=1,COUNTIF($M$2:M368,1),"")</f>
        <v/>
      </c>
      <c r="O368" s="50">
        <f t="shared" ca="1" si="20"/>
        <v>121</v>
      </c>
      <c r="P368" s="17" t="str">
        <f t="shared" ca="1" si="21"/>
        <v>Faltan 121 días</v>
      </c>
      <c r="Q368" s="50">
        <f t="shared" si="22"/>
        <v>46374</v>
      </c>
      <c r="R368" s="17" t="str">
        <f>IF(M368=1,COUNTIFS($Q$2:Q368,Q368,$M$2:M368,1),"")</f>
        <v/>
      </c>
      <c r="S368" s="50" t="str">
        <f t="shared" si="23"/>
        <v/>
      </c>
    </row>
    <row r="369" spans="1:19" ht="45" customHeight="1" x14ac:dyDescent="0.35">
      <c r="A369" s="66">
        <v>46374.625</v>
      </c>
      <c r="B369" s="67" t="s">
        <v>137</v>
      </c>
      <c r="C369" s="67" t="s">
        <v>138</v>
      </c>
      <c r="D369" s="67" t="s">
        <v>139</v>
      </c>
      <c r="E369" s="67" t="s">
        <v>147</v>
      </c>
      <c r="F369" s="67" t="s">
        <v>188</v>
      </c>
      <c r="G369" s="67" t="s">
        <v>94</v>
      </c>
      <c r="H369" s="67" t="s">
        <v>142</v>
      </c>
      <c r="I369" s="67" t="s">
        <v>50</v>
      </c>
      <c r="J369" s="67" t="s">
        <v>150</v>
      </c>
      <c r="K369" s="67" t="s">
        <v>151</v>
      </c>
      <c r="L369" s="68" t="s">
        <v>33</v>
      </c>
      <c r="M369" s="68">
        <f>--AND(Configuración!$B$6&lt;&gt;"",OR(E369="Todas",ISNUMBER(SEARCH(Configuración!$B$7,E369))),IF(L369="Monotributo",Configuración!$B$10="Sí",IF(L369="Autónomos",Configuración!$B$11="Sí",IF(L369="Responsable inscripto",Configuración!$B$12="Sí",IF(L369="Empleador",Configuración!$B$13="Sí",IF(L369="Casas particulares",Configuración!$B$14="Sí",IF(L369="Retenciones",Configuración!$B$15="Sí",IF(L369="Sociedad",Configuración!$B$16="Sí",IF(L369="Persona humana",Configuración!$B$17="Sí",IF(L369="Convenio Multilateral",Configuración!$B$18="Sí",FALSE()))))))))))</f>
        <v>0</v>
      </c>
      <c r="N369" s="68" t="str">
        <f>IF(M369=1,COUNTIF($M$2:M369,1),"")</f>
        <v/>
      </c>
      <c r="O369" s="50">
        <f t="shared" ca="1" si="20"/>
        <v>121</v>
      </c>
      <c r="P369" s="17" t="str">
        <f t="shared" ca="1" si="21"/>
        <v>Faltan 121 días</v>
      </c>
      <c r="Q369" s="50">
        <f t="shared" si="22"/>
        <v>46374</v>
      </c>
      <c r="R369" s="17" t="str">
        <f>IF(M369=1,COUNTIFS($Q$2:Q369,Q369,$M$2:M369,1),"")</f>
        <v/>
      </c>
      <c r="S369" s="50" t="str">
        <f t="shared" si="23"/>
        <v/>
      </c>
    </row>
    <row r="370" spans="1:19" ht="45" customHeight="1" x14ac:dyDescent="0.35">
      <c r="A370" s="66">
        <v>46377</v>
      </c>
      <c r="B370" s="67" t="s">
        <v>115</v>
      </c>
      <c r="C370" s="67" t="s">
        <v>116</v>
      </c>
      <c r="D370" s="67" t="s">
        <v>117</v>
      </c>
      <c r="E370" s="67" t="s">
        <v>89</v>
      </c>
      <c r="F370" s="67" t="s">
        <v>187</v>
      </c>
      <c r="G370" s="67" t="s">
        <v>94</v>
      </c>
      <c r="H370" s="67" t="s">
        <v>87</v>
      </c>
      <c r="I370" s="67" t="s">
        <v>50</v>
      </c>
      <c r="J370" s="67" t="s">
        <v>88</v>
      </c>
      <c r="K370" s="67"/>
      <c r="L370" s="68" t="s">
        <v>118</v>
      </c>
      <c r="M370" s="68">
        <f>--AND(Configuración!$B$6&lt;&gt;"",OR(E370="Todas",ISNUMBER(SEARCH(Configuración!$B$7,E370))),IF(L370="Monotributo",Configuración!$B$10="Sí",IF(L370="Autónomos",Configuración!$B$11="Sí",IF(L370="Responsable inscripto",Configuración!$B$12="Sí",IF(L370="Empleador",Configuración!$B$13="Sí",IF(L370="Casas particulares",Configuración!$B$14="Sí",IF(L370="Retenciones",Configuración!$B$15="Sí",IF(L370="Sociedad",Configuración!$B$16="Sí",IF(L370="Persona humana",Configuración!$B$17="Sí",IF(L370="Convenio Multilateral",Configuración!$B$18="Sí",FALSE()))))))))))</f>
        <v>0</v>
      </c>
      <c r="N370" s="68" t="str">
        <f>IF(M370=1,COUNTIF($M$2:M370,1),"")</f>
        <v/>
      </c>
      <c r="O370" s="50">
        <f t="shared" ca="1" si="20"/>
        <v>124</v>
      </c>
      <c r="P370" s="17" t="str">
        <f t="shared" ca="1" si="21"/>
        <v>Faltan 124 días</v>
      </c>
      <c r="Q370" s="50">
        <f t="shared" si="22"/>
        <v>46377</v>
      </c>
      <c r="R370" s="17" t="str">
        <f>IF(M370=1,COUNTIFS($Q$2:Q370,Q370,$M$2:M370,1),"")</f>
        <v/>
      </c>
      <c r="S370" s="50" t="str">
        <f t="shared" si="23"/>
        <v/>
      </c>
    </row>
    <row r="371" spans="1:19" ht="45" customHeight="1" x14ac:dyDescent="0.35">
      <c r="A371" s="66">
        <v>46377</v>
      </c>
      <c r="B371" s="67" t="s">
        <v>115</v>
      </c>
      <c r="C371" s="67" t="s">
        <v>116</v>
      </c>
      <c r="D371" s="67" t="s">
        <v>117</v>
      </c>
      <c r="E371" s="67" t="s">
        <v>90</v>
      </c>
      <c r="F371" s="67" t="s">
        <v>187</v>
      </c>
      <c r="G371" s="67" t="s">
        <v>94</v>
      </c>
      <c r="H371" s="67" t="s">
        <v>87</v>
      </c>
      <c r="I371" s="67" t="s">
        <v>50</v>
      </c>
      <c r="J371" s="67" t="s">
        <v>88</v>
      </c>
      <c r="K371" s="67"/>
      <c r="L371" s="68" t="s">
        <v>118</v>
      </c>
      <c r="M371" s="68">
        <f>--AND(Configuración!$B$6&lt;&gt;"",OR(E371="Todas",ISNUMBER(SEARCH(Configuración!$B$7,E371))),IF(L371="Monotributo",Configuración!$B$10="Sí",IF(L371="Autónomos",Configuración!$B$11="Sí",IF(L371="Responsable inscripto",Configuración!$B$12="Sí",IF(L371="Empleador",Configuración!$B$13="Sí",IF(L371="Casas particulares",Configuración!$B$14="Sí",IF(L371="Retenciones",Configuración!$B$15="Sí",IF(L371="Sociedad",Configuración!$B$16="Sí",IF(L371="Persona humana",Configuración!$B$17="Sí",IF(L371="Convenio Multilateral",Configuración!$B$18="Sí",FALSE()))))))))))</f>
        <v>0</v>
      </c>
      <c r="N371" s="68" t="str">
        <f>IF(M371=1,COUNTIF($M$2:M371,1),"")</f>
        <v/>
      </c>
      <c r="O371" s="50">
        <f t="shared" ca="1" si="20"/>
        <v>124</v>
      </c>
      <c r="P371" s="17" t="str">
        <f t="shared" ca="1" si="21"/>
        <v>Faltan 124 días</v>
      </c>
      <c r="Q371" s="50">
        <f t="shared" si="22"/>
        <v>46377</v>
      </c>
      <c r="R371" s="17" t="str">
        <f>IF(M371=1,COUNTIFS($Q$2:Q371,Q371,$M$2:M371,1),"")</f>
        <v/>
      </c>
      <c r="S371" s="50" t="str">
        <f t="shared" si="23"/>
        <v/>
      </c>
    </row>
    <row r="372" spans="1:19" ht="45" customHeight="1" x14ac:dyDescent="0.35">
      <c r="A372" s="66">
        <v>46377</v>
      </c>
      <c r="B372" s="67" t="s">
        <v>119</v>
      </c>
      <c r="C372" s="67" t="s">
        <v>120</v>
      </c>
      <c r="D372" s="67" t="s">
        <v>121</v>
      </c>
      <c r="E372" s="67" t="s">
        <v>89</v>
      </c>
      <c r="F372" s="67" t="s">
        <v>187</v>
      </c>
      <c r="G372" s="67" t="s">
        <v>94</v>
      </c>
      <c r="H372" s="67" t="s">
        <v>87</v>
      </c>
      <c r="I372" s="67" t="s">
        <v>50</v>
      </c>
      <c r="J372" s="67" t="s">
        <v>88</v>
      </c>
      <c r="K372" s="67"/>
      <c r="L372" s="68" t="s">
        <v>118</v>
      </c>
      <c r="M372" s="68">
        <f>--AND(Configuración!$B$6&lt;&gt;"",OR(E372="Todas",ISNUMBER(SEARCH(Configuración!$B$7,E372))),IF(L372="Monotributo",Configuración!$B$10="Sí",IF(L372="Autónomos",Configuración!$B$11="Sí",IF(L372="Responsable inscripto",Configuración!$B$12="Sí",IF(L372="Empleador",Configuración!$B$13="Sí",IF(L372="Casas particulares",Configuración!$B$14="Sí",IF(L372="Retenciones",Configuración!$B$15="Sí",IF(L372="Sociedad",Configuración!$B$16="Sí",IF(L372="Persona humana",Configuración!$B$17="Sí",IF(L372="Convenio Multilateral",Configuración!$B$18="Sí",FALSE()))))))))))</f>
        <v>0</v>
      </c>
      <c r="N372" s="68" t="str">
        <f>IF(M372=1,COUNTIF($M$2:M372,1),"")</f>
        <v/>
      </c>
      <c r="O372" s="50">
        <f t="shared" ca="1" si="20"/>
        <v>124</v>
      </c>
      <c r="P372" s="17" t="str">
        <f t="shared" ca="1" si="21"/>
        <v>Faltan 124 días</v>
      </c>
      <c r="Q372" s="50">
        <f t="shared" si="22"/>
        <v>46377</v>
      </c>
      <c r="R372" s="17" t="str">
        <f>IF(M372=1,COUNTIFS($Q$2:Q372,Q372,$M$2:M372,1),"")</f>
        <v/>
      </c>
      <c r="S372" s="50" t="str">
        <f t="shared" si="23"/>
        <v/>
      </c>
    </row>
    <row r="373" spans="1:19" ht="45" customHeight="1" x14ac:dyDescent="0.35">
      <c r="A373" s="66">
        <v>46377</v>
      </c>
      <c r="B373" s="67" t="s">
        <v>119</v>
      </c>
      <c r="C373" s="67" t="s">
        <v>120</v>
      </c>
      <c r="D373" s="67" t="s">
        <v>121</v>
      </c>
      <c r="E373" s="67" t="s">
        <v>90</v>
      </c>
      <c r="F373" s="67" t="s">
        <v>187</v>
      </c>
      <c r="G373" s="67" t="s">
        <v>94</v>
      </c>
      <c r="H373" s="67" t="s">
        <v>87</v>
      </c>
      <c r="I373" s="67" t="s">
        <v>50</v>
      </c>
      <c r="J373" s="67" t="s">
        <v>88</v>
      </c>
      <c r="K373" s="67"/>
      <c r="L373" s="68" t="s">
        <v>118</v>
      </c>
      <c r="M373" s="68">
        <f>--AND(Configuración!$B$6&lt;&gt;"",OR(E373="Todas",ISNUMBER(SEARCH(Configuración!$B$7,E373))),IF(L373="Monotributo",Configuración!$B$10="Sí",IF(L373="Autónomos",Configuración!$B$11="Sí",IF(L373="Responsable inscripto",Configuración!$B$12="Sí",IF(L373="Empleador",Configuración!$B$13="Sí",IF(L373="Casas particulares",Configuración!$B$14="Sí",IF(L373="Retenciones",Configuración!$B$15="Sí",IF(L373="Sociedad",Configuración!$B$16="Sí",IF(L373="Persona humana",Configuración!$B$17="Sí",IF(L373="Convenio Multilateral",Configuración!$B$18="Sí",FALSE()))))))))))</f>
        <v>0</v>
      </c>
      <c r="N373" s="68" t="str">
        <f>IF(M373=1,COUNTIF($M$2:M373,1),"")</f>
        <v/>
      </c>
      <c r="O373" s="50">
        <f t="shared" ca="1" si="20"/>
        <v>124</v>
      </c>
      <c r="P373" s="17" t="str">
        <f t="shared" ca="1" si="21"/>
        <v>Faltan 124 días</v>
      </c>
      <c r="Q373" s="50">
        <f t="shared" si="22"/>
        <v>46377</v>
      </c>
      <c r="R373" s="17" t="str">
        <f>IF(M373=1,COUNTIFS($Q$2:Q373,Q373,$M$2:M373,1),"")</f>
        <v/>
      </c>
      <c r="S373" s="50" t="str">
        <f t="shared" si="23"/>
        <v/>
      </c>
    </row>
    <row r="374" spans="1:19" ht="45" customHeight="1" x14ac:dyDescent="0.35">
      <c r="A374" s="66">
        <v>46377</v>
      </c>
      <c r="B374" s="67" t="s">
        <v>122</v>
      </c>
      <c r="C374" s="67" t="s">
        <v>123</v>
      </c>
      <c r="D374" s="67" t="s">
        <v>124</v>
      </c>
      <c r="E374" s="67" t="s">
        <v>89</v>
      </c>
      <c r="F374" s="67" t="s">
        <v>187</v>
      </c>
      <c r="G374" s="67" t="s">
        <v>109</v>
      </c>
      <c r="H374" s="67" t="s">
        <v>87</v>
      </c>
      <c r="I374" s="67" t="s">
        <v>50</v>
      </c>
      <c r="J374" s="67" t="s">
        <v>88</v>
      </c>
      <c r="K374" s="67" t="s">
        <v>125</v>
      </c>
      <c r="L374" s="68" t="s">
        <v>118</v>
      </c>
      <c r="M374" s="68">
        <f>--AND(Configuración!$B$6&lt;&gt;"",OR(E374="Todas",ISNUMBER(SEARCH(Configuración!$B$7,E374))),IF(L374="Monotributo",Configuración!$B$10="Sí",IF(L374="Autónomos",Configuración!$B$11="Sí",IF(L374="Responsable inscripto",Configuración!$B$12="Sí",IF(L374="Empleador",Configuración!$B$13="Sí",IF(L374="Casas particulares",Configuración!$B$14="Sí",IF(L374="Retenciones",Configuración!$B$15="Sí",IF(L374="Sociedad",Configuración!$B$16="Sí",IF(L374="Persona humana",Configuración!$B$17="Sí",IF(L374="Convenio Multilateral",Configuración!$B$18="Sí",FALSE()))))))))))</f>
        <v>0</v>
      </c>
      <c r="N374" s="68" t="str">
        <f>IF(M374=1,COUNTIF($M$2:M374,1),"")</f>
        <v/>
      </c>
      <c r="O374" s="50">
        <f t="shared" ca="1" si="20"/>
        <v>124</v>
      </c>
      <c r="P374" s="17" t="str">
        <f t="shared" ca="1" si="21"/>
        <v>Faltan 124 días</v>
      </c>
      <c r="Q374" s="50">
        <f t="shared" si="22"/>
        <v>46377</v>
      </c>
      <c r="R374" s="17" t="str">
        <f>IF(M374=1,COUNTIFS($Q$2:Q374,Q374,$M$2:M374,1),"")</f>
        <v/>
      </c>
      <c r="S374" s="50" t="str">
        <f t="shared" si="23"/>
        <v/>
      </c>
    </row>
    <row r="375" spans="1:19" ht="45" customHeight="1" x14ac:dyDescent="0.35">
      <c r="A375" s="66">
        <v>46377</v>
      </c>
      <c r="B375" s="67" t="s">
        <v>122</v>
      </c>
      <c r="C375" s="67" t="s">
        <v>123</v>
      </c>
      <c r="D375" s="67" t="s">
        <v>124</v>
      </c>
      <c r="E375" s="67" t="s">
        <v>90</v>
      </c>
      <c r="F375" s="67" t="s">
        <v>187</v>
      </c>
      <c r="G375" s="67" t="s">
        <v>109</v>
      </c>
      <c r="H375" s="67" t="s">
        <v>87</v>
      </c>
      <c r="I375" s="67" t="s">
        <v>50</v>
      </c>
      <c r="J375" s="67" t="s">
        <v>88</v>
      </c>
      <c r="K375" s="67" t="s">
        <v>125</v>
      </c>
      <c r="L375" s="68" t="s">
        <v>118</v>
      </c>
      <c r="M375" s="68">
        <f>--AND(Configuración!$B$6&lt;&gt;"",OR(E375="Todas",ISNUMBER(SEARCH(Configuración!$B$7,E375))),IF(L375="Monotributo",Configuración!$B$10="Sí",IF(L375="Autónomos",Configuración!$B$11="Sí",IF(L375="Responsable inscripto",Configuración!$B$12="Sí",IF(L375="Empleador",Configuración!$B$13="Sí",IF(L375="Casas particulares",Configuración!$B$14="Sí",IF(L375="Retenciones",Configuración!$B$15="Sí",IF(L375="Sociedad",Configuración!$B$16="Sí",IF(L375="Persona humana",Configuración!$B$17="Sí",IF(L375="Convenio Multilateral",Configuración!$B$18="Sí",FALSE()))))))))))</f>
        <v>0</v>
      </c>
      <c r="N375" s="68" t="str">
        <f>IF(M375=1,COUNTIF($M$2:M375,1),"")</f>
        <v/>
      </c>
      <c r="O375" s="50">
        <f t="shared" ca="1" si="20"/>
        <v>124</v>
      </c>
      <c r="P375" s="17" t="str">
        <f t="shared" ca="1" si="21"/>
        <v>Faltan 124 días</v>
      </c>
      <c r="Q375" s="50">
        <f t="shared" si="22"/>
        <v>46377</v>
      </c>
      <c r="R375" s="17" t="str">
        <f>IF(M375=1,COUNTIFS($Q$2:Q375,Q375,$M$2:M375,1),"")</f>
        <v/>
      </c>
      <c r="S375" s="50" t="str">
        <f t="shared" si="23"/>
        <v/>
      </c>
    </row>
    <row r="376" spans="1:19" ht="30" customHeight="1" x14ac:dyDescent="0.35">
      <c r="A376" s="69">
        <v>46377</v>
      </c>
      <c r="B376" s="70" t="s">
        <v>24</v>
      </c>
      <c r="C376" s="70" t="s">
        <v>126</v>
      </c>
      <c r="D376" s="70" t="s">
        <v>127</v>
      </c>
      <c r="E376" s="70" t="s">
        <v>104</v>
      </c>
      <c r="F376" s="70" t="s">
        <v>189</v>
      </c>
      <c r="G376" s="70" t="s">
        <v>86</v>
      </c>
      <c r="H376" s="70" t="s">
        <v>87</v>
      </c>
      <c r="I376" s="70" t="s">
        <v>50</v>
      </c>
      <c r="J376" s="70" t="s">
        <v>129</v>
      </c>
      <c r="K376" s="70" t="s">
        <v>130</v>
      </c>
      <c r="L376" s="71" t="s">
        <v>24</v>
      </c>
      <c r="M376" s="71">
        <f>--AND(Configuración!$B$6&lt;&gt;"",OR(E376="Todas",ISNUMBER(SEARCH(Configuración!$B$7,E376))),IF(L376="Monotributo",Configuración!$B$10="Sí",IF(L376="Autónomos",Configuración!$B$11="Sí",IF(L376="Responsable inscripto",Configuración!$B$12="Sí",IF(L376="Empleador",Configuración!$B$13="Sí",IF(L376="Casas particulares",Configuración!$B$14="Sí",IF(L376="Retenciones",Configuración!$B$15="Sí",IF(L376="Sociedad",Configuración!$B$16="Sí",IF(L376="Persona humana",Configuración!$B$17="Sí",IF(L376="Convenio Multilateral",Configuración!$B$18="Sí",FALSE()))))))))))</f>
        <v>0</v>
      </c>
      <c r="N376" s="71" t="str">
        <f>IF(M376=1,COUNTIF($M$2:M376,1),"")</f>
        <v/>
      </c>
      <c r="O376" s="50">
        <f t="shared" ca="1" si="20"/>
        <v>124</v>
      </c>
      <c r="P376" s="17" t="str">
        <f t="shared" ca="1" si="21"/>
        <v>Faltan 124 días</v>
      </c>
      <c r="Q376" s="50">
        <f t="shared" si="22"/>
        <v>46377</v>
      </c>
      <c r="R376" s="17" t="str">
        <f>IF(M376=1,COUNTIFS($Q$2:Q376,Q376,$M$2:M376,1),"")</f>
        <v/>
      </c>
      <c r="S376" s="50" t="str">
        <f t="shared" si="23"/>
        <v/>
      </c>
    </row>
    <row r="377" spans="1:19" ht="13.5" customHeight="1" x14ac:dyDescent="0.3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9" ht="13.5" customHeight="1" x14ac:dyDescent="0.3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9" ht="13.5" customHeight="1" x14ac:dyDescent="0.3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9" ht="13.5" customHeight="1" x14ac:dyDescent="0.3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9" ht="13.5" customHeight="1" x14ac:dyDescent="0.3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9" ht="13.5" customHeight="1" x14ac:dyDescent="0.3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9" ht="13.5" customHeight="1" x14ac:dyDescent="0.3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9" ht="13.5" customHeight="1" x14ac:dyDescent="0.3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13.5" customHeight="1" x14ac:dyDescent="0.3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ht="13.5" customHeight="1" x14ac:dyDescent="0.3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ht="13.5" customHeight="1" x14ac:dyDescent="0.3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ht="13.5" customHeight="1" x14ac:dyDescent="0.3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ht="13.5" customHeight="1" x14ac:dyDescent="0.3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ht="13.5" customHeight="1" x14ac:dyDescent="0.3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ht="13.5" customHeight="1" x14ac:dyDescent="0.3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ht="13.5" customHeight="1" x14ac:dyDescent="0.3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ht="13.5" customHeight="1" x14ac:dyDescent="0.3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ht="13.5" customHeight="1" x14ac:dyDescent="0.3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ht="13.5" customHeight="1" x14ac:dyDescent="0.3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ht="13.5" customHeight="1" x14ac:dyDescent="0.3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ht="13.5" customHeight="1" x14ac:dyDescent="0.3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ht="13.5" customHeight="1" x14ac:dyDescent="0.3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ht="13.5" customHeight="1" x14ac:dyDescent="0.3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ht="13.5" customHeight="1" x14ac:dyDescent="0.3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ht="13.5" customHeight="1" x14ac:dyDescent="0.3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ht="13.5" customHeight="1" x14ac:dyDescent="0.3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ht="13.5" customHeight="1" x14ac:dyDescent="0.3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ht="13.5" customHeight="1" x14ac:dyDescent="0.3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ht="13.5" customHeight="1" x14ac:dyDescent="0.3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ht="13.5" customHeight="1" x14ac:dyDescent="0.3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ht="13.5" customHeight="1" x14ac:dyDescent="0.3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ht="13.5" customHeight="1" x14ac:dyDescent="0.3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ht="13.5" customHeight="1" x14ac:dyDescent="0.3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ht="13.5" customHeight="1" x14ac:dyDescent="0.3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ht="13.5" customHeight="1" x14ac:dyDescent="0.3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ht="13.5" customHeight="1" x14ac:dyDescent="0.3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ht="13.5" customHeight="1" x14ac:dyDescent="0.3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ht="13.5" customHeight="1" x14ac:dyDescent="0.3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ht="13.5" customHeight="1" x14ac:dyDescent="0.3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ht="13.5" customHeight="1" x14ac:dyDescent="0.3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ht="13.5" customHeight="1" x14ac:dyDescent="0.3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ht="13.5" customHeight="1" x14ac:dyDescent="0.3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ht="13.5" customHeight="1" x14ac:dyDescent="0.3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ht="13.5" customHeight="1" x14ac:dyDescent="0.3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ht="13.5" customHeight="1" x14ac:dyDescent="0.3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ht="13.5" customHeight="1" x14ac:dyDescent="0.3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ht="13.5" customHeight="1" x14ac:dyDescent="0.3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ht="13.5" customHeight="1" x14ac:dyDescent="0.3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ht="13.5" customHeight="1" x14ac:dyDescent="0.3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ht="13.5" customHeight="1" x14ac:dyDescent="0.3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ht="13.5" customHeight="1" x14ac:dyDescent="0.3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ht="13.5" customHeight="1" x14ac:dyDescent="0.3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ht="13.5" customHeight="1" x14ac:dyDescent="0.3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ht="13.5" customHeight="1" x14ac:dyDescent="0.3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ht="13.5" customHeight="1" x14ac:dyDescent="0.3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ht="13.5" customHeight="1" x14ac:dyDescent="0.3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ht="13.5" customHeight="1" x14ac:dyDescent="0.3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ht="13.5" customHeight="1" x14ac:dyDescent="0.3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ht="13.5" customHeight="1" x14ac:dyDescent="0.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ht="13.5" customHeight="1" x14ac:dyDescent="0.3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ht="13.5" customHeight="1" x14ac:dyDescent="0.3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ht="13.5" customHeight="1" x14ac:dyDescent="0.3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ht="13.5" customHeight="1" x14ac:dyDescent="0.3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ht="13.5" customHeight="1" x14ac:dyDescent="0.3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ht="13.5" customHeight="1" x14ac:dyDescent="0.3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ht="13.5" customHeight="1" x14ac:dyDescent="0.3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ht="13.5" customHeight="1" x14ac:dyDescent="0.3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ht="13.5" customHeight="1" x14ac:dyDescent="0.3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1:14" ht="13.5" customHeight="1" x14ac:dyDescent="0.3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1:14" ht="13.5" customHeight="1" x14ac:dyDescent="0.3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1:14" ht="13.5" customHeight="1" x14ac:dyDescent="0.3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1:14" ht="13.5" customHeight="1" x14ac:dyDescent="0.3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1:14" ht="13.5" customHeight="1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1:14" ht="13.5" customHeight="1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1:14" ht="13.5" customHeight="1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1:14" ht="13.5" customHeight="1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1:14" ht="13.5" customHeight="1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1:14" ht="13.5" customHeight="1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1:14" ht="13.5" customHeight="1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3.5" customHeight="1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1:14" ht="13.5" customHeight="1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3.5" customHeight="1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1:14" ht="13.5" customHeight="1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3.5" customHeight="1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1:14" ht="13.5" customHeight="1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3.5" customHeight="1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3.5" customHeight="1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1:14" ht="13.5" customHeight="1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1:14" ht="13.5" customHeight="1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1:14" ht="13.5" customHeight="1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1:14" ht="13.5" customHeight="1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1:14" ht="13.5" customHeight="1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1:14" ht="13.5" customHeight="1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1:14" ht="13.5" customHeight="1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1:14" ht="13.5" customHeight="1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1:14" ht="13.5" customHeight="1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1:14" ht="13.5" customHeight="1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3.5" customHeight="1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1:14" ht="13.5" customHeight="1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1:14" ht="13.5" customHeight="1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1:14" ht="13.5" customHeight="1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1:14" ht="13.5" customHeight="1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1:14" ht="13.5" customHeight="1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1:14" ht="13.5" customHeight="1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3.5" customHeight="1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1:14" ht="13.5" customHeight="1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1:14" ht="13.5" customHeight="1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1:14" ht="13.5" customHeight="1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1:14" ht="13.5" customHeight="1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3.5" customHeight="1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1:14" ht="13.5" customHeight="1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1:14" ht="13.5" customHeight="1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1:14" ht="13.5" customHeight="1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3.5" customHeight="1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1:14" ht="13.5" customHeight="1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1:14" ht="13.5" customHeight="1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1:14" ht="13.5" customHeight="1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3.5" customHeight="1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1:14" ht="13.5" customHeight="1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1:14" ht="13.5" customHeight="1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1:14" ht="13.5" customHeight="1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1:14" ht="13.5" customHeight="1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1:14" ht="13.5" customHeight="1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1:14" ht="13.5" customHeight="1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1:14" ht="13.5" customHeight="1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1:14" ht="13.5" customHeight="1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1:14" ht="13.5" customHeight="1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1:14" ht="13.5" customHeight="1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1:14" ht="13.5" customHeight="1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1:14" ht="13.5" customHeight="1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1:14" ht="13.5" customHeight="1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1:14" ht="13.5" customHeight="1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1:14" ht="13.5" customHeight="1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1:14" ht="13.5" customHeight="1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1:14" ht="13.5" customHeight="1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1:14" ht="13.5" customHeight="1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1:14" ht="13.5" customHeight="1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1:14" ht="13.5" customHeight="1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1:14" ht="13.5" customHeight="1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1:14" ht="13.5" customHeight="1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1:14" ht="13.5" customHeight="1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1:14" ht="13.5" customHeight="1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1:14" ht="13.5" customHeight="1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1:14" ht="13.5" customHeight="1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1:14" ht="13.5" customHeight="1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1:14" ht="13.5" customHeight="1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1:14" ht="13.5" customHeight="1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1:14" ht="13.5" customHeight="1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1:14" ht="13.5" customHeight="1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1:14" ht="13.5" customHeight="1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1:14" ht="13.5" customHeight="1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1:14" ht="13.5" customHeight="1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1:14" ht="13.5" customHeight="1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1:14" ht="13.5" customHeight="1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1:14" ht="13.5" customHeight="1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1:14" ht="13.5" customHeight="1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1:14" ht="13.5" customHeight="1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1:14" ht="13.5" customHeight="1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1:14" ht="13.5" customHeight="1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1:14" ht="13.5" customHeight="1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1:14" ht="13.5" customHeight="1" x14ac:dyDescent="0.3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1:14" ht="13.5" customHeight="1" x14ac:dyDescent="0.3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1:14" ht="13.5" customHeight="1" x14ac:dyDescent="0.3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1:14" ht="13.5" customHeight="1" x14ac:dyDescent="0.3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1:14" ht="13.5" customHeight="1" x14ac:dyDescent="0.3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1:14" ht="13.5" customHeight="1" x14ac:dyDescent="0.3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1:14" ht="13.5" customHeight="1" x14ac:dyDescent="0.3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1:14" ht="13.5" customHeight="1" x14ac:dyDescent="0.3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1:14" ht="13.5" customHeight="1" x14ac:dyDescent="0.3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1:14" ht="13.5" customHeight="1" x14ac:dyDescent="0.3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1:14" ht="13.5" customHeight="1" x14ac:dyDescent="0.3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1:14" ht="13.5" customHeight="1" x14ac:dyDescent="0.3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1:14" ht="13.5" customHeight="1" x14ac:dyDescent="0.3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1:14" ht="13.5" customHeight="1" x14ac:dyDescent="0.3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1:14" ht="13.5" customHeight="1" x14ac:dyDescent="0.3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1:14" ht="13.5" customHeight="1" x14ac:dyDescent="0.3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1:14" ht="13.5" customHeight="1" x14ac:dyDescent="0.3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1:14" ht="13.5" customHeight="1" x14ac:dyDescent="0.3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1:14" ht="13.5" customHeight="1" x14ac:dyDescent="0.3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1:14" ht="13.5" customHeight="1" x14ac:dyDescent="0.3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1:14" ht="13.5" customHeight="1" x14ac:dyDescent="0.3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1:14" ht="13.5" customHeight="1" x14ac:dyDescent="0.3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1:14" ht="13.5" customHeight="1" x14ac:dyDescent="0.3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3.5" customHeight="1" x14ac:dyDescent="0.3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1:14" ht="13.5" customHeight="1" x14ac:dyDescent="0.3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1:14" ht="13.5" customHeight="1" x14ac:dyDescent="0.3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1:14" ht="13.5" customHeight="1" x14ac:dyDescent="0.3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3.5" customHeight="1" x14ac:dyDescent="0.3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1:14" ht="13.5" customHeight="1" x14ac:dyDescent="0.3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1:14" ht="13.5" customHeight="1" x14ac:dyDescent="0.3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1:14" ht="13.5" customHeight="1" x14ac:dyDescent="0.3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1:14" ht="13.5" customHeight="1" x14ac:dyDescent="0.3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1:14" ht="13.5" customHeight="1" x14ac:dyDescent="0.3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1:14" ht="13.5" customHeight="1" x14ac:dyDescent="0.3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1:14" ht="13.5" customHeight="1" x14ac:dyDescent="0.3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1:14" ht="13.5" customHeight="1" x14ac:dyDescent="0.3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1:14" ht="13.5" customHeight="1" x14ac:dyDescent="0.3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1:14" ht="13.5" customHeight="1" x14ac:dyDescent="0.3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1:14" ht="13.5" customHeight="1" x14ac:dyDescent="0.3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1:14" ht="13.5" customHeight="1" x14ac:dyDescent="0.3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1:14" ht="13.5" customHeight="1" x14ac:dyDescent="0.3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1:14" ht="13.5" customHeight="1" x14ac:dyDescent="0.3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1:14" ht="13.5" customHeight="1" x14ac:dyDescent="0.3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1:14" ht="13.5" customHeight="1" x14ac:dyDescent="0.3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1:14" ht="13.5" customHeight="1" x14ac:dyDescent="0.3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1:14" ht="13.5" customHeight="1" x14ac:dyDescent="0.3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1:14" ht="13.5" customHeight="1" x14ac:dyDescent="0.3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1:14" ht="13.5" customHeight="1" x14ac:dyDescent="0.3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1:14" ht="13.5" customHeight="1" x14ac:dyDescent="0.3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1:14" ht="13.5" customHeight="1" x14ac:dyDescent="0.3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1:14" ht="13.5" customHeight="1" x14ac:dyDescent="0.3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4" ht="13.5" customHeight="1" x14ac:dyDescent="0.3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4" ht="13.5" customHeight="1" x14ac:dyDescent="0.3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4" ht="13.5" customHeight="1" x14ac:dyDescent="0.3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4" ht="13.5" customHeight="1" x14ac:dyDescent="0.3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1:14" ht="13.5" customHeight="1" x14ac:dyDescent="0.3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1:14" ht="13.5" customHeight="1" x14ac:dyDescent="0.3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1:14" ht="13.5" customHeight="1" x14ac:dyDescent="0.3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1:14" ht="13.5" customHeight="1" x14ac:dyDescent="0.3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1:14" ht="13.5" customHeight="1" x14ac:dyDescent="0.3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1:14" ht="13.5" customHeight="1" x14ac:dyDescent="0.3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1:14" ht="13.5" customHeight="1" x14ac:dyDescent="0.3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1:14" ht="13.5" customHeight="1" x14ac:dyDescent="0.3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1:14" ht="13.5" customHeight="1" x14ac:dyDescent="0.3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1:14" ht="13.5" customHeight="1" x14ac:dyDescent="0.3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1:14" ht="13.5" customHeight="1" x14ac:dyDescent="0.3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1:14" ht="13.5" customHeight="1" x14ac:dyDescent="0.3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1:14" ht="13.5" customHeight="1" x14ac:dyDescent="0.3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1:14" ht="13.5" customHeight="1" x14ac:dyDescent="0.3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1:14" ht="13.5" customHeight="1" x14ac:dyDescent="0.3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1:14" ht="13.5" customHeight="1" x14ac:dyDescent="0.3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1:14" ht="13.5" customHeight="1" x14ac:dyDescent="0.3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1:14" ht="13.5" customHeight="1" x14ac:dyDescent="0.3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1:14" ht="13.5" customHeight="1" x14ac:dyDescent="0.3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1:14" ht="13.5" customHeight="1" x14ac:dyDescent="0.3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1:14" ht="13.5" customHeight="1" x14ac:dyDescent="0.3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1:14" ht="13.5" customHeight="1" x14ac:dyDescent="0.3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1:14" ht="13.5" customHeight="1" x14ac:dyDescent="0.3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1:14" ht="13.5" customHeight="1" x14ac:dyDescent="0.3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1:14" ht="13.5" customHeight="1" x14ac:dyDescent="0.3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1:14" ht="13.5" customHeight="1" x14ac:dyDescent="0.3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1:14" ht="13.5" customHeight="1" x14ac:dyDescent="0.3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1:14" ht="13.5" customHeight="1" x14ac:dyDescent="0.3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1:14" ht="13.5" customHeight="1" x14ac:dyDescent="0.3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1:14" ht="13.5" customHeight="1" x14ac:dyDescent="0.3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1:14" ht="13.5" customHeight="1" x14ac:dyDescent="0.3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1:14" ht="13.5" customHeight="1" x14ac:dyDescent="0.3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1:14" ht="13.5" customHeight="1" x14ac:dyDescent="0.3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1:14" ht="13.5" customHeight="1" x14ac:dyDescent="0.3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1:14" ht="13.5" customHeight="1" x14ac:dyDescent="0.3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1:14" ht="13.5" customHeight="1" x14ac:dyDescent="0.3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1:14" ht="13.5" customHeight="1" x14ac:dyDescent="0.3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1:14" ht="13.5" customHeight="1" x14ac:dyDescent="0.3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1:14" ht="13.5" customHeight="1" x14ac:dyDescent="0.3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1:14" ht="13.5" customHeight="1" x14ac:dyDescent="0.3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1:14" ht="13.5" customHeight="1" x14ac:dyDescent="0.3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1:14" ht="13.5" customHeight="1" x14ac:dyDescent="0.3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1:14" ht="13.5" customHeight="1" x14ac:dyDescent="0.3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1:14" ht="13.5" customHeight="1" x14ac:dyDescent="0.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1:14" ht="13.5" customHeight="1" x14ac:dyDescent="0.3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1:14" ht="13.5" customHeight="1" x14ac:dyDescent="0.3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1:14" ht="13.5" customHeight="1" x14ac:dyDescent="0.3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1:14" ht="13.5" customHeight="1" x14ac:dyDescent="0.3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1:14" ht="13.5" customHeight="1" x14ac:dyDescent="0.3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1:14" ht="13.5" customHeight="1" x14ac:dyDescent="0.3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1:14" ht="13.5" customHeight="1" x14ac:dyDescent="0.3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1:14" ht="13.5" customHeight="1" x14ac:dyDescent="0.3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1:14" ht="13.5" customHeight="1" x14ac:dyDescent="0.3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1:14" ht="13.5" customHeight="1" x14ac:dyDescent="0.3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1:14" ht="13.5" customHeight="1" x14ac:dyDescent="0.3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1:14" ht="13.5" customHeight="1" x14ac:dyDescent="0.3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1:14" ht="13.5" customHeight="1" x14ac:dyDescent="0.3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1:14" ht="13.5" customHeight="1" x14ac:dyDescent="0.3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1:14" ht="13.5" customHeight="1" x14ac:dyDescent="0.3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1:14" ht="13.5" customHeight="1" x14ac:dyDescent="0.3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1:14" ht="13.5" customHeight="1" x14ac:dyDescent="0.3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1:14" ht="13.5" customHeight="1" x14ac:dyDescent="0.3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1:14" ht="13.5" customHeight="1" x14ac:dyDescent="0.3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1:14" ht="13.5" customHeight="1" x14ac:dyDescent="0.3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1:14" ht="13.5" customHeight="1" x14ac:dyDescent="0.3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1:14" ht="13.5" customHeight="1" x14ac:dyDescent="0.3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3.5" customHeight="1" x14ac:dyDescent="0.3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1:14" ht="13.5" customHeight="1" x14ac:dyDescent="0.3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1:14" ht="13.5" customHeight="1" x14ac:dyDescent="0.3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1:14" ht="13.5" customHeight="1" x14ac:dyDescent="0.3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3.5" customHeight="1" x14ac:dyDescent="0.3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1:14" ht="13.5" customHeight="1" x14ac:dyDescent="0.3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1:14" ht="13.5" customHeight="1" x14ac:dyDescent="0.3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1:14" ht="13.5" customHeight="1" x14ac:dyDescent="0.3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1:14" ht="13.5" customHeight="1" x14ac:dyDescent="0.3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1:14" ht="13.5" customHeight="1" x14ac:dyDescent="0.3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1:14" ht="13.5" customHeight="1" x14ac:dyDescent="0.3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1:14" ht="13.5" customHeight="1" x14ac:dyDescent="0.3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1:14" ht="13.5" customHeight="1" x14ac:dyDescent="0.3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1:14" ht="13.5" customHeight="1" x14ac:dyDescent="0.3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1:14" ht="13.5" customHeight="1" x14ac:dyDescent="0.3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1:14" ht="13.5" customHeight="1" x14ac:dyDescent="0.3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1:14" ht="13.5" customHeight="1" x14ac:dyDescent="0.3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1:14" ht="13.5" customHeight="1" x14ac:dyDescent="0.3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1:14" ht="13.5" customHeight="1" x14ac:dyDescent="0.3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1:14" ht="13.5" customHeight="1" x14ac:dyDescent="0.3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1:14" ht="13.5" customHeight="1" x14ac:dyDescent="0.3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1:14" ht="13.5" customHeight="1" x14ac:dyDescent="0.3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1:14" ht="13.5" customHeight="1" x14ac:dyDescent="0.3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1:14" ht="13.5" customHeight="1" x14ac:dyDescent="0.3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1:14" ht="13.5" customHeight="1" x14ac:dyDescent="0.3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1:14" ht="13.5" customHeight="1" x14ac:dyDescent="0.3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1:14" ht="13.5" customHeight="1" x14ac:dyDescent="0.3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1:14" ht="13.5" customHeight="1" x14ac:dyDescent="0.3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1:14" ht="13.5" customHeight="1" x14ac:dyDescent="0.3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1:14" ht="13.5" customHeight="1" x14ac:dyDescent="0.3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1:14" ht="13.5" customHeight="1" x14ac:dyDescent="0.3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1:14" ht="13.5" customHeight="1" x14ac:dyDescent="0.3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1:14" ht="13.5" customHeight="1" x14ac:dyDescent="0.3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1:14" ht="13.5" customHeight="1" x14ac:dyDescent="0.3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1:14" ht="13.5" customHeight="1" x14ac:dyDescent="0.3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1:14" ht="13.5" customHeight="1" x14ac:dyDescent="0.3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1:14" ht="13.5" customHeight="1" x14ac:dyDescent="0.3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1:14" ht="13.5" customHeight="1" x14ac:dyDescent="0.3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1:14" ht="13.5" customHeight="1" x14ac:dyDescent="0.3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1:14" ht="13.5" customHeight="1" x14ac:dyDescent="0.3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1:14" ht="13.5" customHeight="1" x14ac:dyDescent="0.3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1:14" ht="13.5" customHeight="1" x14ac:dyDescent="0.3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1:14" ht="13.5" customHeight="1" x14ac:dyDescent="0.3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1:14" ht="13.5" customHeight="1" x14ac:dyDescent="0.3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1:14" ht="13.5" customHeight="1" x14ac:dyDescent="0.3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1:14" ht="13.5" customHeight="1" x14ac:dyDescent="0.3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1:14" ht="13.5" customHeight="1" x14ac:dyDescent="0.3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1:14" ht="13.5" customHeight="1" x14ac:dyDescent="0.3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1:14" ht="13.5" customHeight="1" x14ac:dyDescent="0.3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1:14" ht="13.5" customHeight="1" x14ac:dyDescent="0.3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1:14" ht="13.5" customHeight="1" x14ac:dyDescent="0.3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1:14" ht="13.5" customHeight="1" x14ac:dyDescent="0.3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3.5" customHeight="1" x14ac:dyDescent="0.3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1:14" ht="13.5" customHeight="1" x14ac:dyDescent="0.3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1:14" ht="13.5" customHeight="1" x14ac:dyDescent="0.3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1:14" ht="13.5" customHeight="1" x14ac:dyDescent="0.3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1:14" ht="13.5" customHeight="1" x14ac:dyDescent="0.3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1:14" ht="13.5" customHeight="1" x14ac:dyDescent="0.3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1:14" ht="13.5" customHeight="1" x14ac:dyDescent="0.3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1:14" ht="13.5" customHeight="1" x14ac:dyDescent="0.3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1:14" ht="13.5" customHeight="1" x14ac:dyDescent="0.3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1:14" ht="13.5" customHeight="1" x14ac:dyDescent="0.3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1:14" ht="13.5" customHeight="1" x14ac:dyDescent="0.3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1:14" ht="13.5" customHeight="1" x14ac:dyDescent="0.3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1:14" ht="13.5" customHeight="1" x14ac:dyDescent="0.3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1:14" ht="13.5" customHeight="1" x14ac:dyDescent="0.3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1:14" ht="13.5" customHeight="1" x14ac:dyDescent="0.3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1:14" ht="13.5" customHeight="1" x14ac:dyDescent="0.3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1:14" ht="13.5" customHeight="1" x14ac:dyDescent="0.3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1:14" ht="13.5" customHeight="1" x14ac:dyDescent="0.3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1:14" ht="13.5" customHeight="1" x14ac:dyDescent="0.3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1:14" ht="13.5" customHeight="1" x14ac:dyDescent="0.3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1:14" ht="13.5" customHeight="1" x14ac:dyDescent="0.3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1:14" ht="13.5" customHeight="1" x14ac:dyDescent="0.3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1:14" ht="13.5" customHeight="1" x14ac:dyDescent="0.3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1:14" ht="13.5" customHeight="1" x14ac:dyDescent="0.3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1:14" ht="13.5" customHeight="1" x14ac:dyDescent="0.3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1:14" ht="13.5" customHeight="1" x14ac:dyDescent="0.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14" ht="13.5" customHeight="1" x14ac:dyDescent="0.3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1:14" ht="13.5" customHeight="1" x14ac:dyDescent="0.3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1:14" ht="13.5" customHeight="1" x14ac:dyDescent="0.3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1:14" ht="13.5" customHeight="1" x14ac:dyDescent="0.3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1:14" ht="13.5" customHeight="1" x14ac:dyDescent="0.3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1:14" ht="13.5" customHeight="1" x14ac:dyDescent="0.3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1:14" ht="13.5" customHeight="1" x14ac:dyDescent="0.3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1:14" ht="13.5" customHeight="1" x14ac:dyDescent="0.3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1:14" ht="13.5" customHeight="1" x14ac:dyDescent="0.3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1:14" ht="13.5" customHeight="1" x14ac:dyDescent="0.3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1:14" ht="13.5" customHeight="1" x14ac:dyDescent="0.3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1:14" ht="13.5" customHeight="1" x14ac:dyDescent="0.3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1:14" ht="13.5" customHeight="1" x14ac:dyDescent="0.3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1:14" ht="13.5" customHeight="1" x14ac:dyDescent="0.3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1:14" ht="13.5" customHeight="1" x14ac:dyDescent="0.3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1:14" ht="13.5" customHeight="1" x14ac:dyDescent="0.3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1:14" ht="13.5" customHeight="1" x14ac:dyDescent="0.3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1:14" ht="13.5" customHeight="1" x14ac:dyDescent="0.3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1:14" ht="13.5" customHeight="1" x14ac:dyDescent="0.3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1:14" ht="13.5" customHeight="1" x14ac:dyDescent="0.3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1:14" ht="13.5" customHeight="1" x14ac:dyDescent="0.3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1:14" ht="13.5" customHeight="1" x14ac:dyDescent="0.3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1:14" ht="13.5" customHeight="1" x14ac:dyDescent="0.3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1:14" ht="13.5" customHeight="1" x14ac:dyDescent="0.3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1:14" ht="13.5" customHeight="1" x14ac:dyDescent="0.3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1:14" ht="13.5" customHeight="1" x14ac:dyDescent="0.3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1:14" ht="13.5" customHeight="1" x14ac:dyDescent="0.3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1:14" ht="13.5" customHeight="1" x14ac:dyDescent="0.3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1:14" ht="13.5" customHeight="1" x14ac:dyDescent="0.3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1:14" ht="13.5" customHeight="1" x14ac:dyDescent="0.3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1:14" ht="13.5" customHeight="1" x14ac:dyDescent="0.3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1:14" ht="13.5" customHeight="1" x14ac:dyDescent="0.3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1:14" ht="13.5" customHeight="1" x14ac:dyDescent="0.3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1:14" ht="13.5" customHeight="1" x14ac:dyDescent="0.3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1:14" ht="13.5" customHeight="1" x14ac:dyDescent="0.3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1:14" ht="13.5" customHeight="1" x14ac:dyDescent="0.3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1:14" ht="13.5" customHeight="1" x14ac:dyDescent="0.3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1:14" ht="13.5" customHeight="1" x14ac:dyDescent="0.3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1:14" ht="13.5" customHeight="1" x14ac:dyDescent="0.3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1:14" ht="13.5" customHeight="1" x14ac:dyDescent="0.3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1:14" ht="13.5" customHeight="1" x14ac:dyDescent="0.3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1:14" ht="13.5" customHeight="1" x14ac:dyDescent="0.3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1:14" ht="13.5" customHeight="1" x14ac:dyDescent="0.3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1:14" ht="13.5" customHeight="1" x14ac:dyDescent="0.3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1:14" ht="13.5" customHeight="1" x14ac:dyDescent="0.3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1:14" ht="13.5" customHeight="1" x14ac:dyDescent="0.3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1:14" ht="13.5" customHeight="1" x14ac:dyDescent="0.3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1:14" ht="13.5" customHeight="1" x14ac:dyDescent="0.3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1:14" ht="13.5" customHeight="1" x14ac:dyDescent="0.3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1:14" ht="13.5" customHeight="1" x14ac:dyDescent="0.3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1:14" ht="13.5" customHeight="1" x14ac:dyDescent="0.3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1:14" ht="13.5" customHeight="1" x14ac:dyDescent="0.3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1:14" ht="13.5" customHeight="1" x14ac:dyDescent="0.3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1:14" ht="13.5" customHeight="1" x14ac:dyDescent="0.3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1:14" ht="13.5" customHeight="1" x14ac:dyDescent="0.3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1:14" ht="13.5" customHeight="1" x14ac:dyDescent="0.3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1:14" ht="13.5" customHeight="1" x14ac:dyDescent="0.3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1:14" ht="13.5" customHeight="1" x14ac:dyDescent="0.3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1:14" ht="13.5" customHeight="1" x14ac:dyDescent="0.3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1:14" ht="13.5" customHeight="1" x14ac:dyDescent="0.3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1:14" ht="13.5" customHeight="1" x14ac:dyDescent="0.3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1:14" ht="13.5" customHeight="1" x14ac:dyDescent="0.3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1:14" ht="13.5" customHeight="1" x14ac:dyDescent="0.3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1:14" ht="13.5" customHeight="1" x14ac:dyDescent="0.3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1:14" ht="13.5" customHeight="1" x14ac:dyDescent="0.3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1:14" ht="13.5" customHeight="1" x14ac:dyDescent="0.3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1:14" ht="13.5" customHeight="1" x14ac:dyDescent="0.3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1:14" ht="13.5" customHeight="1" x14ac:dyDescent="0.3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1:14" ht="13.5" customHeight="1" x14ac:dyDescent="0.3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1:14" ht="13.5" customHeight="1" x14ac:dyDescent="0.3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1:14" ht="13.5" customHeight="1" x14ac:dyDescent="0.3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1:14" ht="13.5" customHeight="1" x14ac:dyDescent="0.3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1:14" ht="13.5" customHeight="1" x14ac:dyDescent="0.3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1:14" ht="13.5" customHeight="1" x14ac:dyDescent="0.3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1:14" ht="13.5" customHeight="1" x14ac:dyDescent="0.3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1:14" ht="13.5" customHeight="1" x14ac:dyDescent="0.3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1:14" ht="13.5" customHeight="1" x14ac:dyDescent="0.3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1:14" ht="13.5" customHeight="1" x14ac:dyDescent="0.3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1:14" ht="13.5" customHeight="1" x14ac:dyDescent="0.3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1:14" ht="13.5" customHeight="1" x14ac:dyDescent="0.3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1:14" ht="13.5" customHeight="1" x14ac:dyDescent="0.3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1:14" ht="13.5" customHeight="1" x14ac:dyDescent="0.3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1:14" ht="13.5" customHeight="1" x14ac:dyDescent="0.3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1:14" ht="13.5" customHeight="1" x14ac:dyDescent="0.3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1:14" ht="13.5" customHeight="1" x14ac:dyDescent="0.3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1:14" ht="13.5" customHeight="1" x14ac:dyDescent="0.3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1:14" ht="13.5" customHeight="1" x14ac:dyDescent="0.3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1:14" ht="13.5" customHeight="1" x14ac:dyDescent="0.3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1:14" ht="13.5" customHeight="1" x14ac:dyDescent="0.3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1:14" ht="13.5" customHeight="1" x14ac:dyDescent="0.3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1:14" ht="13.5" customHeight="1" x14ac:dyDescent="0.3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1:14" ht="13.5" customHeight="1" x14ac:dyDescent="0.3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1:14" ht="13.5" customHeight="1" x14ac:dyDescent="0.3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1:14" ht="13.5" customHeight="1" x14ac:dyDescent="0.3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1:14" ht="13.5" customHeight="1" x14ac:dyDescent="0.3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1:14" ht="13.5" customHeight="1" x14ac:dyDescent="0.3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1:14" ht="13.5" customHeight="1" x14ac:dyDescent="0.3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1:14" ht="13.5" customHeight="1" x14ac:dyDescent="0.3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1:14" ht="13.5" customHeight="1" x14ac:dyDescent="0.3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1:14" ht="13.5" customHeight="1" x14ac:dyDescent="0.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1:14" ht="13.5" customHeight="1" x14ac:dyDescent="0.3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3.5" customHeight="1" x14ac:dyDescent="0.3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1:14" ht="13.5" customHeight="1" x14ac:dyDescent="0.3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1:14" ht="13.5" customHeight="1" x14ac:dyDescent="0.3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1:14" ht="13.5" customHeight="1" x14ac:dyDescent="0.3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1:14" ht="13.5" customHeight="1" x14ac:dyDescent="0.3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ht="13.5" customHeight="1" x14ac:dyDescent="0.3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1:14" ht="13.5" customHeight="1" x14ac:dyDescent="0.3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1:14" ht="13.5" customHeight="1" x14ac:dyDescent="0.3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1:14" ht="13.5" customHeight="1" x14ac:dyDescent="0.3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1:14" ht="13.5" customHeight="1" x14ac:dyDescent="0.3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1:14" ht="13.5" customHeight="1" x14ac:dyDescent="0.3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1:14" ht="13.5" customHeight="1" x14ac:dyDescent="0.3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1:14" ht="13.5" customHeight="1" x14ac:dyDescent="0.3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1:14" ht="13.5" customHeight="1" x14ac:dyDescent="0.3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1:14" ht="13.5" customHeight="1" x14ac:dyDescent="0.3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1:14" ht="13.5" customHeight="1" x14ac:dyDescent="0.3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1:14" ht="13.5" customHeight="1" x14ac:dyDescent="0.3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1:14" ht="13.5" customHeight="1" x14ac:dyDescent="0.3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3.5" customHeight="1" x14ac:dyDescent="0.3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1:14" ht="13.5" customHeight="1" x14ac:dyDescent="0.3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1:14" ht="13.5" customHeight="1" x14ac:dyDescent="0.3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1:14" ht="13.5" customHeight="1" x14ac:dyDescent="0.3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ht="13.5" customHeight="1" x14ac:dyDescent="0.3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3.5" customHeight="1" x14ac:dyDescent="0.3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1:14" ht="13.5" customHeight="1" x14ac:dyDescent="0.3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1:14" ht="13.5" customHeight="1" x14ac:dyDescent="0.3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1:14" ht="13.5" customHeight="1" x14ac:dyDescent="0.3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1:14" ht="13.5" customHeight="1" x14ac:dyDescent="0.3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1:14" ht="13.5" customHeight="1" x14ac:dyDescent="0.3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1:14" ht="13.5" customHeight="1" x14ac:dyDescent="0.3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1:14" ht="13.5" customHeight="1" x14ac:dyDescent="0.3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1:14" ht="13.5" customHeight="1" x14ac:dyDescent="0.3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1:14" ht="13.5" customHeight="1" x14ac:dyDescent="0.3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1:14" ht="13.5" customHeight="1" x14ac:dyDescent="0.3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1:14" ht="13.5" customHeight="1" x14ac:dyDescent="0.3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1:14" ht="13.5" customHeight="1" x14ac:dyDescent="0.3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1:14" ht="13.5" customHeight="1" x14ac:dyDescent="0.3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1:14" ht="13.5" customHeight="1" x14ac:dyDescent="0.3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1:14" ht="13.5" customHeight="1" x14ac:dyDescent="0.3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1:14" ht="13.5" customHeight="1" x14ac:dyDescent="0.3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1:14" ht="13.5" customHeight="1" x14ac:dyDescent="0.3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1:14" ht="13.5" customHeight="1" x14ac:dyDescent="0.3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1:14" ht="13.5" customHeight="1" x14ac:dyDescent="0.3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1:14" ht="13.5" customHeight="1" x14ac:dyDescent="0.3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1:14" ht="13.5" customHeight="1" x14ac:dyDescent="0.3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1:14" ht="13.5" customHeight="1" x14ac:dyDescent="0.3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1:14" ht="13.5" customHeight="1" x14ac:dyDescent="0.3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1:14" ht="13.5" customHeight="1" x14ac:dyDescent="0.3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1:14" ht="13.5" customHeight="1" x14ac:dyDescent="0.3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1:14" ht="13.5" customHeight="1" x14ac:dyDescent="0.3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1:14" ht="13.5" customHeight="1" x14ac:dyDescent="0.3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1:14" ht="13.5" customHeight="1" x14ac:dyDescent="0.3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1:14" ht="13.5" customHeight="1" x14ac:dyDescent="0.3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1:14" ht="13.5" customHeight="1" x14ac:dyDescent="0.3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1:14" ht="13.5" customHeight="1" x14ac:dyDescent="0.3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1:14" ht="13.5" customHeight="1" x14ac:dyDescent="0.3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1:14" ht="13.5" customHeight="1" x14ac:dyDescent="0.3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1:14" ht="13.5" customHeight="1" x14ac:dyDescent="0.3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1:14" ht="13.5" customHeight="1" x14ac:dyDescent="0.3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1:14" ht="13.5" customHeight="1" x14ac:dyDescent="0.3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1:14" ht="13.5" customHeight="1" x14ac:dyDescent="0.3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1:14" ht="13.5" customHeight="1" x14ac:dyDescent="0.3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1:14" ht="13.5" customHeight="1" x14ac:dyDescent="0.3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1:14" ht="13.5" customHeight="1" x14ac:dyDescent="0.3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1:14" ht="13.5" customHeight="1" x14ac:dyDescent="0.3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1:14" ht="13.5" customHeight="1" x14ac:dyDescent="0.3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1:14" ht="13.5" customHeight="1" x14ac:dyDescent="0.3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1:14" ht="13.5" customHeight="1" x14ac:dyDescent="0.3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1:14" ht="13.5" customHeight="1" x14ac:dyDescent="0.3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1:14" ht="13.5" customHeight="1" x14ac:dyDescent="0.3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1:14" ht="13.5" customHeight="1" x14ac:dyDescent="0.3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1:14" ht="13.5" customHeight="1" x14ac:dyDescent="0.3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1:14" ht="13.5" customHeight="1" x14ac:dyDescent="0.3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1:14" ht="13.5" customHeight="1" x14ac:dyDescent="0.3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1:14" ht="13.5" customHeight="1" x14ac:dyDescent="0.3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1:14" ht="13.5" customHeight="1" x14ac:dyDescent="0.3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1:14" ht="13.5" customHeight="1" x14ac:dyDescent="0.3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1:14" ht="13.5" customHeight="1" x14ac:dyDescent="0.3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1:14" ht="13.5" customHeight="1" x14ac:dyDescent="0.3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1:14" ht="13.5" customHeight="1" x14ac:dyDescent="0.3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1:14" ht="13.5" customHeight="1" x14ac:dyDescent="0.3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1:14" ht="13.5" customHeight="1" x14ac:dyDescent="0.3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1:14" ht="13.5" customHeight="1" x14ac:dyDescent="0.3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1:14" ht="13.5" customHeight="1" x14ac:dyDescent="0.3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1:14" ht="13.5" customHeight="1" x14ac:dyDescent="0.3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1:14" ht="13.5" customHeight="1" x14ac:dyDescent="0.3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1:14" ht="13.5" customHeight="1" x14ac:dyDescent="0.3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1:14" ht="13.5" customHeight="1" x14ac:dyDescent="0.3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1:14" ht="13.5" customHeight="1" x14ac:dyDescent="0.3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1:14" ht="13.5" customHeight="1" x14ac:dyDescent="0.3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1:14" ht="13.5" customHeight="1" x14ac:dyDescent="0.3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1:14" ht="13.5" customHeight="1" x14ac:dyDescent="0.3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1:14" ht="13.5" customHeight="1" x14ac:dyDescent="0.3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1:14" ht="13.5" customHeight="1" x14ac:dyDescent="0.3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1:14" ht="13.5" customHeight="1" x14ac:dyDescent="0.3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1:14" ht="13.5" customHeight="1" x14ac:dyDescent="0.3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1:14" ht="13.5" customHeight="1" x14ac:dyDescent="0.3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1:14" ht="13.5" customHeight="1" x14ac:dyDescent="0.3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1:14" ht="13.5" customHeight="1" x14ac:dyDescent="0.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1:14" ht="13.5" customHeight="1" x14ac:dyDescent="0.3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1:14" ht="13.5" customHeight="1" x14ac:dyDescent="0.3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3.5" customHeight="1" x14ac:dyDescent="0.3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1:14" ht="13.5" customHeight="1" x14ac:dyDescent="0.3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1:14" ht="13.5" customHeight="1" x14ac:dyDescent="0.3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1:14" ht="13.5" customHeight="1" x14ac:dyDescent="0.3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1:14" ht="13.5" customHeight="1" x14ac:dyDescent="0.3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1:14" ht="13.5" customHeight="1" x14ac:dyDescent="0.3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3.5" customHeight="1" x14ac:dyDescent="0.3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1:14" ht="13.5" customHeight="1" x14ac:dyDescent="0.3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1:14" ht="13.5" customHeight="1" x14ac:dyDescent="0.3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1:14" ht="13.5" customHeight="1" x14ac:dyDescent="0.3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1:14" ht="13.5" customHeight="1" x14ac:dyDescent="0.3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1:14" ht="13.5" customHeight="1" x14ac:dyDescent="0.3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1:14" ht="13.5" customHeight="1" x14ac:dyDescent="0.3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1:14" ht="13.5" customHeight="1" x14ac:dyDescent="0.3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1:14" ht="13.5" customHeight="1" x14ac:dyDescent="0.3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1:14" ht="13.5" customHeight="1" x14ac:dyDescent="0.3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1:14" ht="13.5" customHeight="1" x14ac:dyDescent="0.3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1:14" ht="13.5" customHeight="1" x14ac:dyDescent="0.3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1:14" ht="13.5" customHeight="1" x14ac:dyDescent="0.3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1:14" ht="13.5" customHeight="1" x14ac:dyDescent="0.3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1:14" ht="13.5" customHeight="1" x14ac:dyDescent="0.3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1:14" ht="13.5" customHeight="1" x14ac:dyDescent="0.3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1:14" ht="13.5" customHeight="1" x14ac:dyDescent="0.3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1:14" ht="13.5" customHeight="1" x14ac:dyDescent="0.3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1:14" ht="13.5" customHeight="1" x14ac:dyDescent="0.3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1:14" ht="13.5" customHeight="1" x14ac:dyDescent="0.3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1:14" ht="13.5" customHeight="1" x14ac:dyDescent="0.3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1:14" ht="13.5" customHeight="1" x14ac:dyDescent="0.3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1:14" ht="13.5" customHeight="1" x14ac:dyDescent="0.3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1:14" ht="13.5" customHeight="1" x14ac:dyDescent="0.3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1:14" ht="13.5" customHeight="1" x14ac:dyDescent="0.3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1:14" ht="13.5" customHeight="1" x14ac:dyDescent="0.3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1:14" ht="13.5" customHeight="1" x14ac:dyDescent="0.3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1:14" ht="13.5" customHeight="1" x14ac:dyDescent="0.3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1:14" ht="13.5" customHeight="1" x14ac:dyDescent="0.3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1:14" ht="13.5" customHeight="1" x14ac:dyDescent="0.3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1:14" ht="13.5" customHeight="1" x14ac:dyDescent="0.3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1:14" ht="13.5" customHeight="1" x14ac:dyDescent="0.3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1:14" ht="13.5" customHeight="1" x14ac:dyDescent="0.3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1:14" ht="13.5" customHeight="1" x14ac:dyDescent="0.3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1:14" ht="13.5" customHeight="1" x14ac:dyDescent="0.3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1:14" ht="13.5" customHeight="1" x14ac:dyDescent="0.3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1:14" ht="13.5" customHeight="1" x14ac:dyDescent="0.3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1:14" ht="13.5" customHeight="1" x14ac:dyDescent="0.3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1:14" ht="13.5" customHeight="1" x14ac:dyDescent="0.3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1:14" ht="13.5" customHeight="1" x14ac:dyDescent="0.3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1:14" ht="13.5" customHeight="1" x14ac:dyDescent="0.3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1:14" ht="13.5" customHeight="1" x14ac:dyDescent="0.3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1:14" ht="13.5" customHeight="1" x14ac:dyDescent="0.3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1:14" ht="13.5" customHeight="1" x14ac:dyDescent="0.3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1:14" ht="13.5" customHeight="1" x14ac:dyDescent="0.3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1:14" ht="13.5" customHeight="1" x14ac:dyDescent="0.3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1:14" ht="13.5" customHeight="1" x14ac:dyDescent="0.3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1:14" ht="13.5" customHeight="1" x14ac:dyDescent="0.3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1:14" ht="13.5" customHeight="1" x14ac:dyDescent="0.3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1:14" ht="13.5" customHeight="1" x14ac:dyDescent="0.3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1:14" ht="13.5" customHeight="1" x14ac:dyDescent="0.3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1:14" ht="13.5" customHeight="1" x14ac:dyDescent="0.3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1:14" ht="13.5" customHeight="1" x14ac:dyDescent="0.3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1:14" ht="13.5" customHeight="1" x14ac:dyDescent="0.3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1:14" ht="13.5" customHeight="1" x14ac:dyDescent="0.3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1:14" ht="13.5" customHeight="1" x14ac:dyDescent="0.3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1:14" ht="13.5" customHeight="1" x14ac:dyDescent="0.3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</sheetData>
  <sheetProtection sheet="1" objects="1" scenarios="1" autoFilter="0"/>
  <conditionalFormatting sqref="I2:I376">
    <cfRule type="containsText" dxfId="2" priority="2" operator="containsText" text="Cumplido">
      <formula>NOT(ISERROR(SEARCH("Cumplido",I2)))</formula>
    </cfRule>
    <cfRule type="containsText" dxfId="1" priority="3" operator="containsText" text="Pendiente">
      <formula>NOT(ISERROR(SEARCH("Pendiente",I2)))</formula>
    </cfRule>
    <cfRule type="containsText" dxfId="0" priority="4" operator="containsText" text="En preparación">
      <formula>NOT(ISERROR(SEARCH("En preparación",I2)))</formula>
    </cfRule>
  </conditionalFormatting>
  <dataValidations count="1">
    <dataValidation type="list" allowBlank="1" sqref="I2:I376" xr:uid="{00000000-0002-0000-0400-000000000000}">
      <formula1>"Pendiente,En preparación,Cumplido,No aplica"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showGridLines="0" zoomScaleNormal="100" workbookViewId="0">
      <pane ySplit="4" topLeftCell="A5" activePane="bottomLeft" state="frozen"/>
      <selection pane="bottomLeft" activeCell="B6" sqref="B6"/>
    </sheetView>
  </sheetViews>
  <sheetFormatPr baseColWidth="10" defaultColWidth="14.54296875" defaultRowHeight="14.5" x14ac:dyDescent="0.35"/>
  <cols>
    <col min="1" max="6" width="16" customWidth="1"/>
    <col min="7" max="26" width="8.81640625" customWidth="1"/>
  </cols>
  <sheetData>
    <row r="1" spans="1:6" ht="30" customHeight="1" x14ac:dyDescent="0.35">
      <c r="A1" s="12" t="s">
        <v>190</v>
      </c>
      <c r="B1" s="12"/>
      <c r="C1" s="12"/>
      <c r="D1" s="12"/>
      <c r="E1" s="12"/>
      <c r="F1" s="12"/>
    </row>
    <row r="2" spans="1:6" ht="12" customHeight="1" x14ac:dyDescent="0.35">
      <c r="A2" s="12"/>
      <c r="B2" s="12"/>
      <c r="C2" s="12"/>
      <c r="D2" s="12"/>
      <c r="E2" s="12"/>
      <c r="F2" s="12"/>
    </row>
    <row r="3" spans="1:6" ht="4.5" customHeight="1" x14ac:dyDescent="0.35">
      <c r="A3" s="31"/>
      <c r="B3" s="31"/>
      <c r="C3" s="31"/>
      <c r="D3" s="31"/>
      <c r="E3" s="31"/>
      <c r="F3" s="31"/>
    </row>
    <row r="4" spans="1:6" ht="30" customHeight="1" x14ac:dyDescent="0.35">
      <c r="A4" s="72" t="s">
        <v>191</v>
      </c>
      <c r="B4" s="73" t="s">
        <v>192</v>
      </c>
      <c r="C4" s="73" t="s">
        <v>193</v>
      </c>
      <c r="D4" s="73" t="s">
        <v>194</v>
      </c>
      <c r="E4" s="73" t="s">
        <v>94</v>
      </c>
      <c r="F4" s="74" t="s">
        <v>195</v>
      </c>
    </row>
    <row r="5" spans="1:6" ht="19.5" customHeight="1" x14ac:dyDescent="0.35">
      <c r="A5" s="75" t="s">
        <v>196</v>
      </c>
      <c r="B5" s="76">
        <f>COUNTIFS('Agenda 2026'!$A$2:$A$376,"&gt;="&amp;DATE(2026,1,1),'Agenda 2026'!$A$2:$A$376,"&lt;"&amp;DATE(2026,2,1),'Agenda 2026'!$M$2:$M$376,1)</f>
        <v>0</v>
      </c>
      <c r="C5" s="76">
        <f>COUNTIFS('Agenda 2026'!$A$2:$A$376,"&gt;="&amp;DATE(2026,1,1),'Agenda 2026'!$A$2:$A$376,"&lt;"&amp;DATE(2026,2,1),'Agenda 2026'!$M$2:$M$376,1,'Agenda 2026'!$G$2:$G$376,"Pago")</f>
        <v>0</v>
      </c>
      <c r="D5" s="76">
        <f>COUNTIFS('Agenda 2026'!$A$2:$A$376,"&gt;="&amp;DATE(2026,1,1),'Agenda 2026'!$A$2:$A$376,"&lt;"&amp;DATE(2026,2,1),'Agenda 2026'!$M$2:$M$376,1,'Agenda 2026'!$G$2:$G$376,"Presentación")</f>
        <v>0</v>
      </c>
      <c r="E5" s="76">
        <f>COUNTIFS('Agenda 2026'!$A$2:$A$376,"&gt;="&amp;DATE(2026,1,1),'Agenda 2026'!$A$2:$A$376,"&lt;"&amp;DATE(2026,2,1),'Agenda 2026'!$M$2:$M$376,1,'Agenda 2026'!$G$2:$G$376,"Presentación y pago")</f>
        <v>0</v>
      </c>
      <c r="F5" s="76">
        <f>COUNTIFS('Agenda 2026'!$A$2:$A$376,"&gt;="&amp;DATE(2026,1,1),'Agenda 2026'!$A$2:$A$376,"&lt;"&amp;DATE(2026,2,1),'Agenda 2026'!$M$2:$M$376,1,'Agenda 2026'!$I$2:$I$376,"Pendiente")</f>
        <v>0</v>
      </c>
    </row>
    <row r="6" spans="1:6" ht="19.5" customHeight="1" x14ac:dyDescent="0.35">
      <c r="A6" s="77" t="s">
        <v>197</v>
      </c>
      <c r="B6" s="78">
        <f>COUNTIFS('Agenda 2026'!$A$2:$A$376,"&gt;="&amp;DATE(2026,2,1),'Agenda 2026'!$A$2:$A$376,"&lt;"&amp;DATE(2026,3,1),'Agenda 2026'!$M$2:$M$376,1)</f>
        <v>0</v>
      </c>
      <c r="C6" s="78">
        <f>COUNTIFS('Agenda 2026'!$A$2:$A$376,"&gt;="&amp;DATE(2026,2,1),'Agenda 2026'!$A$2:$A$376,"&lt;"&amp;DATE(2026,3,1),'Agenda 2026'!$M$2:$M$376,1,'Agenda 2026'!$G$2:$G$376,"Pago")</f>
        <v>0</v>
      </c>
      <c r="D6" s="78">
        <f>COUNTIFS('Agenda 2026'!$A$2:$A$376,"&gt;="&amp;DATE(2026,2,1),'Agenda 2026'!$A$2:$A$376,"&lt;"&amp;DATE(2026,3,1),'Agenda 2026'!$M$2:$M$376,1,'Agenda 2026'!$G$2:$G$376,"Presentación")</f>
        <v>0</v>
      </c>
      <c r="E6" s="78">
        <f>COUNTIFS('Agenda 2026'!$A$2:$A$376,"&gt;="&amp;DATE(2026,2,1),'Agenda 2026'!$A$2:$A$376,"&lt;"&amp;DATE(2026,3,1),'Agenda 2026'!$M$2:$M$376,1,'Agenda 2026'!$G$2:$G$376,"Presentación y pago")</f>
        <v>0</v>
      </c>
      <c r="F6" s="78">
        <f>COUNTIFS('Agenda 2026'!$A$2:$A$376,"&gt;="&amp;DATE(2026,2,1),'Agenda 2026'!$A$2:$A$376,"&lt;"&amp;DATE(2026,3,1),'Agenda 2026'!$M$2:$M$376,1,'Agenda 2026'!$I$2:$I$376,"Pendiente")</f>
        <v>0</v>
      </c>
    </row>
    <row r="7" spans="1:6" ht="19.5" customHeight="1" x14ac:dyDescent="0.35">
      <c r="A7" s="75" t="s">
        <v>198</v>
      </c>
      <c r="B7" s="76">
        <f>COUNTIFS('Agenda 2026'!$A$2:$A$376,"&gt;="&amp;DATE(2026,3,1),'Agenda 2026'!$A$2:$A$376,"&lt;"&amp;DATE(2026,4,1),'Agenda 2026'!$M$2:$M$376,1)</f>
        <v>0</v>
      </c>
      <c r="C7" s="76">
        <f>COUNTIFS('Agenda 2026'!$A$2:$A$376,"&gt;="&amp;DATE(2026,3,1),'Agenda 2026'!$A$2:$A$376,"&lt;"&amp;DATE(2026,4,1),'Agenda 2026'!$M$2:$M$376,1,'Agenda 2026'!$G$2:$G$376,"Pago")</f>
        <v>0</v>
      </c>
      <c r="D7" s="76">
        <f>COUNTIFS('Agenda 2026'!$A$2:$A$376,"&gt;="&amp;DATE(2026,3,1),'Agenda 2026'!$A$2:$A$376,"&lt;"&amp;DATE(2026,4,1),'Agenda 2026'!$M$2:$M$376,1,'Agenda 2026'!$G$2:$G$376,"Presentación")</f>
        <v>0</v>
      </c>
      <c r="E7" s="76">
        <f>COUNTIFS('Agenda 2026'!$A$2:$A$376,"&gt;="&amp;DATE(2026,3,1),'Agenda 2026'!$A$2:$A$376,"&lt;"&amp;DATE(2026,4,1),'Agenda 2026'!$M$2:$M$376,1,'Agenda 2026'!$G$2:$G$376,"Presentación y pago")</f>
        <v>0</v>
      </c>
      <c r="F7" s="76">
        <f>COUNTIFS('Agenda 2026'!$A$2:$A$376,"&gt;="&amp;DATE(2026,3,1),'Agenda 2026'!$A$2:$A$376,"&lt;"&amp;DATE(2026,4,1),'Agenda 2026'!$M$2:$M$376,1,'Agenda 2026'!$I$2:$I$376,"Pendiente")</f>
        <v>0</v>
      </c>
    </row>
    <row r="8" spans="1:6" ht="19.5" customHeight="1" x14ac:dyDescent="0.35">
      <c r="A8" s="77" t="s">
        <v>199</v>
      </c>
      <c r="B8" s="78">
        <f>COUNTIFS('Agenda 2026'!$A$2:$A$376,"&gt;="&amp;DATE(2026,4,1),'Agenda 2026'!$A$2:$A$376,"&lt;"&amp;DATE(2026,5,1),'Agenda 2026'!$M$2:$M$376,1)</f>
        <v>0</v>
      </c>
      <c r="C8" s="78">
        <f>COUNTIFS('Agenda 2026'!$A$2:$A$376,"&gt;="&amp;DATE(2026,4,1),'Agenda 2026'!$A$2:$A$376,"&lt;"&amp;DATE(2026,5,1),'Agenda 2026'!$M$2:$M$376,1,'Agenda 2026'!$G$2:$G$376,"Pago")</f>
        <v>0</v>
      </c>
      <c r="D8" s="78">
        <f>COUNTIFS('Agenda 2026'!$A$2:$A$376,"&gt;="&amp;DATE(2026,4,1),'Agenda 2026'!$A$2:$A$376,"&lt;"&amp;DATE(2026,5,1),'Agenda 2026'!$M$2:$M$376,1,'Agenda 2026'!$G$2:$G$376,"Presentación")</f>
        <v>0</v>
      </c>
      <c r="E8" s="78">
        <f>COUNTIFS('Agenda 2026'!$A$2:$A$376,"&gt;="&amp;DATE(2026,4,1),'Agenda 2026'!$A$2:$A$376,"&lt;"&amp;DATE(2026,5,1),'Agenda 2026'!$M$2:$M$376,1,'Agenda 2026'!$G$2:$G$376,"Presentación y pago")</f>
        <v>0</v>
      </c>
      <c r="F8" s="78">
        <f>COUNTIFS('Agenda 2026'!$A$2:$A$376,"&gt;="&amp;DATE(2026,4,1),'Agenda 2026'!$A$2:$A$376,"&lt;"&amp;DATE(2026,5,1),'Agenda 2026'!$M$2:$M$376,1,'Agenda 2026'!$I$2:$I$376,"Pendiente")</f>
        <v>0</v>
      </c>
    </row>
    <row r="9" spans="1:6" ht="19.5" customHeight="1" x14ac:dyDescent="0.35">
      <c r="A9" s="75" t="s">
        <v>200</v>
      </c>
      <c r="B9" s="76">
        <f>COUNTIFS('Agenda 2026'!$A$2:$A$376,"&gt;="&amp;DATE(2026,5,1),'Agenda 2026'!$A$2:$A$376,"&lt;"&amp;DATE(2026,6,1),'Agenda 2026'!$M$2:$M$376,1)</f>
        <v>0</v>
      </c>
      <c r="C9" s="76">
        <f>COUNTIFS('Agenda 2026'!$A$2:$A$376,"&gt;="&amp;DATE(2026,5,1),'Agenda 2026'!$A$2:$A$376,"&lt;"&amp;DATE(2026,6,1),'Agenda 2026'!$M$2:$M$376,1,'Agenda 2026'!$G$2:$G$376,"Pago")</f>
        <v>0</v>
      </c>
      <c r="D9" s="76">
        <f>COUNTIFS('Agenda 2026'!$A$2:$A$376,"&gt;="&amp;DATE(2026,5,1),'Agenda 2026'!$A$2:$A$376,"&lt;"&amp;DATE(2026,6,1),'Agenda 2026'!$M$2:$M$376,1,'Agenda 2026'!$G$2:$G$376,"Presentación")</f>
        <v>0</v>
      </c>
      <c r="E9" s="76">
        <f>COUNTIFS('Agenda 2026'!$A$2:$A$376,"&gt;="&amp;DATE(2026,5,1),'Agenda 2026'!$A$2:$A$376,"&lt;"&amp;DATE(2026,6,1),'Agenda 2026'!$M$2:$M$376,1,'Agenda 2026'!$G$2:$G$376,"Presentación y pago")</f>
        <v>0</v>
      </c>
      <c r="F9" s="76">
        <f>COUNTIFS('Agenda 2026'!$A$2:$A$376,"&gt;="&amp;DATE(2026,5,1),'Agenda 2026'!$A$2:$A$376,"&lt;"&amp;DATE(2026,6,1),'Agenda 2026'!$M$2:$M$376,1,'Agenda 2026'!$I$2:$I$376,"Pendiente")</f>
        <v>0</v>
      </c>
    </row>
    <row r="10" spans="1:6" ht="19.5" customHeight="1" x14ac:dyDescent="0.35">
      <c r="A10" s="77" t="s">
        <v>201</v>
      </c>
      <c r="B10" s="78">
        <f>COUNTIFS('Agenda 2026'!$A$2:$A$376,"&gt;="&amp;DATE(2026,6,1),'Agenda 2026'!$A$2:$A$376,"&lt;"&amp;DATE(2026,7,1),'Agenda 2026'!$M$2:$M$376,1)</f>
        <v>0</v>
      </c>
      <c r="C10" s="78">
        <f>COUNTIFS('Agenda 2026'!$A$2:$A$376,"&gt;="&amp;DATE(2026,6,1),'Agenda 2026'!$A$2:$A$376,"&lt;"&amp;DATE(2026,7,1),'Agenda 2026'!$M$2:$M$376,1,'Agenda 2026'!$G$2:$G$376,"Pago")</f>
        <v>0</v>
      </c>
      <c r="D10" s="78">
        <f>COUNTIFS('Agenda 2026'!$A$2:$A$376,"&gt;="&amp;DATE(2026,6,1),'Agenda 2026'!$A$2:$A$376,"&lt;"&amp;DATE(2026,7,1),'Agenda 2026'!$M$2:$M$376,1,'Agenda 2026'!$G$2:$G$376,"Presentación")</f>
        <v>0</v>
      </c>
      <c r="E10" s="78">
        <f>COUNTIFS('Agenda 2026'!$A$2:$A$376,"&gt;="&amp;DATE(2026,6,1),'Agenda 2026'!$A$2:$A$376,"&lt;"&amp;DATE(2026,7,1),'Agenda 2026'!$M$2:$M$376,1,'Agenda 2026'!$G$2:$G$376,"Presentación y pago")</f>
        <v>0</v>
      </c>
      <c r="F10" s="78">
        <f>COUNTIFS('Agenda 2026'!$A$2:$A$376,"&gt;="&amp;DATE(2026,6,1),'Agenda 2026'!$A$2:$A$376,"&lt;"&amp;DATE(2026,7,1),'Agenda 2026'!$M$2:$M$376,1,'Agenda 2026'!$I$2:$I$376,"Pendiente")</f>
        <v>0</v>
      </c>
    </row>
    <row r="11" spans="1:6" ht="19.5" customHeight="1" x14ac:dyDescent="0.35">
      <c r="A11" s="75" t="s">
        <v>202</v>
      </c>
      <c r="B11" s="76">
        <f>COUNTIFS('Agenda 2026'!$A$2:$A$376,"&gt;="&amp;DATE(2026,7,1),'Agenda 2026'!$A$2:$A$376,"&lt;"&amp;DATE(2026,8,1),'Agenda 2026'!$M$2:$M$376,1)</f>
        <v>0</v>
      </c>
      <c r="C11" s="76">
        <f>COUNTIFS('Agenda 2026'!$A$2:$A$376,"&gt;="&amp;DATE(2026,7,1),'Agenda 2026'!$A$2:$A$376,"&lt;"&amp;DATE(2026,8,1),'Agenda 2026'!$M$2:$M$376,1,'Agenda 2026'!$G$2:$G$376,"Pago")</f>
        <v>0</v>
      </c>
      <c r="D11" s="76">
        <f>COUNTIFS('Agenda 2026'!$A$2:$A$376,"&gt;="&amp;DATE(2026,7,1),'Agenda 2026'!$A$2:$A$376,"&lt;"&amp;DATE(2026,8,1),'Agenda 2026'!$M$2:$M$376,1,'Agenda 2026'!$G$2:$G$376,"Presentación")</f>
        <v>0</v>
      </c>
      <c r="E11" s="76">
        <f>COUNTIFS('Agenda 2026'!$A$2:$A$376,"&gt;="&amp;DATE(2026,7,1),'Agenda 2026'!$A$2:$A$376,"&lt;"&amp;DATE(2026,8,1),'Agenda 2026'!$M$2:$M$376,1,'Agenda 2026'!$G$2:$G$376,"Presentación y pago")</f>
        <v>0</v>
      </c>
      <c r="F11" s="76">
        <f>COUNTIFS('Agenda 2026'!$A$2:$A$376,"&gt;="&amp;DATE(2026,7,1),'Agenda 2026'!$A$2:$A$376,"&lt;"&amp;DATE(2026,8,1),'Agenda 2026'!$M$2:$M$376,1,'Agenda 2026'!$I$2:$I$376,"Pendiente")</f>
        <v>0</v>
      </c>
    </row>
    <row r="12" spans="1:6" ht="19.5" customHeight="1" x14ac:dyDescent="0.35">
      <c r="A12" s="77" t="s">
        <v>203</v>
      </c>
      <c r="B12" s="78">
        <f>COUNTIFS('Agenda 2026'!$A$2:$A$376,"&gt;="&amp;DATE(2026,8,1),'Agenda 2026'!$A$2:$A$376,"&lt;"&amp;DATE(2026,9,1),'Agenda 2026'!$M$2:$M$376,1)</f>
        <v>0</v>
      </c>
      <c r="C12" s="78">
        <f>COUNTIFS('Agenda 2026'!$A$2:$A$376,"&gt;="&amp;DATE(2026,8,1),'Agenda 2026'!$A$2:$A$376,"&lt;"&amp;DATE(2026,9,1),'Agenda 2026'!$M$2:$M$376,1,'Agenda 2026'!$G$2:$G$376,"Pago")</f>
        <v>0</v>
      </c>
      <c r="D12" s="78">
        <f>COUNTIFS('Agenda 2026'!$A$2:$A$376,"&gt;="&amp;DATE(2026,8,1),'Agenda 2026'!$A$2:$A$376,"&lt;"&amp;DATE(2026,9,1),'Agenda 2026'!$M$2:$M$376,1,'Agenda 2026'!$G$2:$G$376,"Presentación")</f>
        <v>0</v>
      </c>
      <c r="E12" s="78">
        <f>COUNTIFS('Agenda 2026'!$A$2:$A$376,"&gt;="&amp;DATE(2026,8,1),'Agenda 2026'!$A$2:$A$376,"&lt;"&amp;DATE(2026,9,1),'Agenda 2026'!$M$2:$M$376,1,'Agenda 2026'!$G$2:$G$376,"Presentación y pago")</f>
        <v>0</v>
      </c>
      <c r="F12" s="78">
        <f>COUNTIFS('Agenda 2026'!$A$2:$A$376,"&gt;="&amp;DATE(2026,8,1),'Agenda 2026'!$A$2:$A$376,"&lt;"&amp;DATE(2026,9,1),'Agenda 2026'!$M$2:$M$376,1,'Agenda 2026'!$I$2:$I$376,"Pendiente")</f>
        <v>0</v>
      </c>
    </row>
    <row r="13" spans="1:6" ht="19.5" customHeight="1" x14ac:dyDescent="0.35">
      <c r="A13" s="75" t="s">
        <v>204</v>
      </c>
      <c r="B13" s="76">
        <f>COUNTIFS('Agenda 2026'!$A$2:$A$376,"&gt;="&amp;DATE(2026,9,1),'Agenda 2026'!$A$2:$A$376,"&lt;"&amp;DATE(2026,10,1),'Agenda 2026'!$M$2:$M$376,1)</f>
        <v>0</v>
      </c>
      <c r="C13" s="76">
        <f>COUNTIFS('Agenda 2026'!$A$2:$A$376,"&gt;="&amp;DATE(2026,9,1),'Agenda 2026'!$A$2:$A$376,"&lt;"&amp;DATE(2026,10,1),'Agenda 2026'!$M$2:$M$376,1,'Agenda 2026'!$G$2:$G$376,"Pago")</f>
        <v>0</v>
      </c>
      <c r="D13" s="76">
        <f>COUNTIFS('Agenda 2026'!$A$2:$A$376,"&gt;="&amp;DATE(2026,9,1),'Agenda 2026'!$A$2:$A$376,"&lt;"&amp;DATE(2026,10,1),'Agenda 2026'!$M$2:$M$376,1,'Agenda 2026'!$G$2:$G$376,"Presentación")</f>
        <v>0</v>
      </c>
      <c r="E13" s="76">
        <f>COUNTIFS('Agenda 2026'!$A$2:$A$376,"&gt;="&amp;DATE(2026,9,1),'Agenda 2026'!$A$2:$A$376,"&lt;"&amp;DATE(2026,10,1),'Agenda 2026'!$M$2:$M$376,1,'Agenda 2026'!$G$2:$G$376,"Presentación y pago")</f>
        <v>0</v>
      </c>
      <c r="F13" s="76">
        <f>COUNTIFS('Agenda 2026'!$A$2:$A$376,"&gt;="&amp;DATE(2026,9,1),'Agenda 2026'!$A$2:$A$376,"&lt;"&amp;DATE(2026,10,1),'Agenda 2026'!$M$2:$M$376,1,'Agenda 2026'!$I$2:$I$376,"Pendiente")</f>
        <v>0</v>
      </c>
    </row>
    <row r="14" spans="1:6" ht="19.5" customHeight="1" x14ac:dyDescent="0.35">
      <c r="A14" s="77" t="s">
        <v>205</v>
      </c>
      <c r="B14" s="78">
        <f>COUNTIFS('Agenda 2026'!$A$2:$A$376,"&gt;="&amp;DATE(2026,10,1),'Agenda 2026'!$A$2:$A$376,"&lt;"&amp;DATE(2026,11,1),'Agenda 2026'!$M$2:$M$376,1)</f>
        <v>0</v>
      </c>
      <c r="C14" s="78">
        <f>COUNTIFS('Agenda 2026'!$A$2:$A$376,"&gt;="&amp;DATE(2026,10,1),'Agenda 2026'!$A$2:$A$376,"&lt;"&amp;DATE(2026,11,1),'Agenda 2026'!$M$2:$M$376,1,'Agenda 2026'!$G$2:$G$376,"Pago")</f>
        <v>0</v>
      </c>
      <c r="D14" s="78">
        <f>COUNTIFS('Agenda 2026'!$A$2:$A$376,"&gt;="&amp;DATE(2026,10,1),'Agenda 2026'!$A$2:$A$376,"&lt;"&amp;DATE(2026,11,1),'Agenda 2026'!$M$2:$M$376,1,'Agenda 2026'!$G$2:$G$376,"Presentación")</f>
        <v>0</v>
      </c>
      <c r="E14" s="78">
        <f>COUNTIFS('Agenda 2026'!$A$2:$A$376,"&gt;="&amp;DATE(2026,10,1),'Agenda 2026'!$A$2:$A$376,"&lt;"&amp;DATE(2026,11,1),'Agenda 2026'!$M$2:$M$376,1,'Agenda 2026'!$G$2:$G$376,"Presentación y pago")</f>
        <v>0</v>
      </c>
      <c r="F14" s="78">
        <f>COUNTIFS('Agenda 2026'!$A$2:$A$376,"&gt;="&amp;DATE(2026,10,1),'Agenda 2026'!$A$2:$A$376,"&lt;"&amp;DATE(2026,11,1),'Agenda 2026'!$M$2:$M$376,1,'Agenda 2026'!$I$2:$I$376,"Pendiente")</f>
        <v>0</v>
      </c>
    </row>
    <row r="15" spans="1:6" ht="19.5" customHeight="1" x14ac:dyDescent="0.35">
      <c r="A15" s="75" t="s">
        <v>206</v>
      </c>
      <c r="B15" s="76">
        <f>COUNTIFS('Agenda 2026'!$A$2:$A$376,"&gt;="&amp;DATE(2026,11,1),'Agenda 2026'!$A$2:$A$376,"&lt;"&amp;DATE(2026,12,1),'Agenda 2026'!$M$2:$M$376,1)</f>
        <v>0</v>
      </c>
      <c r="C15" s="76">
        <f>COUNTIFS('Agenda 2026'!$A$2:$A$376,"&gt;="&amp;DATE(2026,11,1),'Agenda 2026'!$A$2:$A$376,"&lt;"&amp;DATE(2026,12,1),'Agenda 2026'!$M$2:$M$376,1,'Agenda 2026'!$G$2:$G$376,"Pago")</f>
        <v>0</v>
      </c>
      <c r="D15" s="76">
        <f>COUNTIFS('Agenda 2026'!$A$2:$A$376,"&gt;="&amp;DATE(2026,11,1),'Agenda 2026'!$A$2:$A$376,"&lt;"&amp;DATE(2026,12,1),'Agenda 2026'!$M$2:$M$376,1,'Agenda 2026'!$G$2:$G$376,"Presentación")</f>
        <v>0</v>
      </c>
      <c r="E15" s="76">
        <f>COUNTIFS('Agenda 2026'!$A$2:$A$376,"&gt;="&amp;DATE(2026,11,1),'Agenda 2026'!$A$2:$A$376,"&lt;"&amp;DATE(2026,12,1),'Agenda 2026'!$M$2:$M$376,1,'Agenda 2026'!$G$2:$G$376,"Presentación y pago")</f>
        <v>0</v>
      </c>
      <c r="F15" s="76">
        <f>COUNTIFS('Agenda 2026'!$A$2:$A$376,"&gt;="&amp;DATE(2026,11,1),'Agenda 2026'!$A$2:$A$376,"&lt;"&amp;DATE(2026,12,1),'Agenda 2026'!$M$2:$M$376,1,'Agenda 2026'!$I$2:$I$376,"Pendiente")</f>
        <v>0</v>
      </c>
    </row>
    <row r="16" spans="1:6" ht="19.5" customHeight="1" x14ac:dyDescent="0.35">
      <c r="A16" s="77" t="s">
        <v>207</v>
      </c>
      <c r="B16" s="78">
        <f>COUNTIFS('Agenda 2026'!$A$2:$A$376,"&gt;="&amp;DATE(2026,12,1),'Agenda 2026'!$A$2:$A$376,"&lt;"&amp;DATE(2026,13,1),'Agenda 2026'!$M$2:$M$376,1)</f>
        <v>0</v>
      </c>
      <c r="C16" s="78">
        <f>COUNTIFS('Agenda 2026'!$A$2:$A$376,"&gt;="&amp;DATE(2026,12,1),'Agenda 2026'!$A$2:$A$376,"&lt;"&amp;DATE(2026,13,1),'Agenda 2026'!$M$2:$M$376,1,'Agenda 2026'!$G$2:$G$376,"Pago")</f>
        <v>0</v>
      </c>
      <c r="D16" s="78">
        <f>COUNTIFS('Agenda 2026'!$A$2:$A$376,"&gt;="&amp;DATE(2026,12,1),'Agenda 2026'!$A$2:$A$376,"&lt;"&amp;DATE(2026,13,1),'Agenda 2026'!$M$2:$M$376,1,'Agenda 2026'!$G$2:$G$376,"Presentación")</f>
        <v>0</v>
      </c>
      <c r="E16" s="78">
        <f>COUNTIFS('Agenda 2026'!$A$2:$A$376,"&gt;="&amp;DATE(2026,12,1),'Agenda 2026'!$A$2:$A$376,"&lt;"&amp;DATE(2026,13,1),'Agenda 2026'!$M$2:$M$376,1,'Agenda 2026'!$G$2:$G$376,"Presentación y pago")</f>
        <v>0</v>
      </c>
      <c r="F16" s="78">
        <f>COUNTIFS('Agenda 2026'!$A$2:$A$376,"&gt;="&amp;DATE(2026,12,1),'Agenda 2026'!$A$2:$A$376,"&lt;"&amp;DATE(2026,13,1),'Agenda 2026'!$M$2:$M$376,1,'Agenda 2026'!$I$2:$I$376,"Pendiente")</f>
        <v>0</v>
      </c>
    </row>
    <row r="17" spans="1:6" ht="21.75" customHeight="1" x14ac:dyDescent="0.35">
      <c r="A17" s="79" t="s">
        <v>192</v>
      </c>
      <c r="B17" s="80">
        <f>SUM(B5:B16)</f>
        <v>0</v>
      </c>
      <c r="C17" s="80">
        <f>SUM(C5:C16)</f>
        <v>0</v>
      </c>
      <c r="D17" s="80">
        <f>SUM(D5:D16)</f>
        <v>0</v>
      </c>
      <c r="E17" s="80">
        <f>SUM(E5:E16)</f>
        <v>0</v>
      </c>
      <c r="F17" s="80">
        <f>SUM(F5:F16)</f>
        <v>0</v>
      </c>
    </row>
    <row r="18" spans="1:6" ht="13.5" customHeight="1" x14ac:dyDescent="0.35">
      <c r="A18" s="17"/>
      <c r="B18" s="17"/>
      <c r="C18" s="17"/>
      <c r="D18" s="17"/>
      <c r="E18" s="17"/>
      <c r="F18" s="17"/>
    </row>
    <row r="19" spans="1:6" ht="13.5" customHeight="1" x14ac:dyDescent="0.35">
      <c r="A19" s="17"/>
      <c r="B19" s="17"/>
      <c r="C19" s="17"/>
      <c r="D19" s="17"/>
      <c r="E19" s="17"/>
      <c r="F19" s="17"/>
    </row>
    <row r="20" spans="1:6" ht="13.5" customHeight="1" x14ac:dyDescent="0.35">
      <c r="A20" s="17"/>
      <c r="B20" s="17"/>
      <c r="C20" s="17"/>
      <c r="D20" s="17"/>
      <c r="E20" s="17"/>
      <c r="F20" s="17"/>
    </row>
    <row r="21" spans="1:6" ht="13.5" customHeight="1" x14ac:dyDescent="0.35">
      <c r="A21" s="17"/>
      <c r="B21" s="17"/>
      <c r="C21" s="17"/>
      <c r="D21" s="17"/>
      <c r="E21" s="17"/>
      <c r="F21" s="17"/>
    </row>
    <row r="22" spans="1:6" ht="13.5" customHeight="1" x14ac:dyDescent="0.35">
      <c r="A22" s="17"/>
      <c r="B22" s="17"/>
      <c r="C22" s="17"/>
      <c r="D22" s="17"/>
      <c r="E22" s="17"/>
      <c r="F22" s="17"/>
    </row>
    <row r="23" spans="1:6" ht="13.5" customHeight="1" x14ac:dyDescent="0.35">
      <c r="A23" s="17"/>
      <c r="B23" s="17"/>
      <c r="C23" s="17"/>
      <c r="D23" s="17"/>
      <c r="E23" s="17"/>
      <c r="F23" s="17"/>
    </row>
    <row r="24" spans="1:6" ht="13.5" customHeight="1" x14ac:dyDescent="0.35">
      <c r="A24" s="17"/>
      <c r="B24" s="17"/>
      <c r="C24" s="17"/>
      <c r="D24" s="17"/>
      <c r="E24" s="17"/>
      <c r="F24" s="17"/>
    </row>
    <row r="25" spans="1:6" ht="13.5" customHeight="1" x14ac:dyDescent="0.35">
      <c r="A25" s="17"/>
      <c r="B25" s="17"/>
      <c r="C25" s="17"/>
      <c r="D25" s="17"/>
      <c r="E25" s="17"/>
      <c r="F25" s="17"/>
    </row>
    <row r="26" spans="1:6" ht="13.5" customHeight="1" x14ac:dyDescent="0.35">
      <c r="A26" s="17"/>
      <c r="B26" s="17"/>
      <c r="C26" s="17"/>
      <c r="D26" s="17"/>
      <c r="E26" s="17"/>
      <c r="F26" s="17"/>
    </row>
    <row r="27" spans="1:6" ht="13.5" customHeight="1" x14ac:dyDescent="0.35">
      <c r="A27" s="17"/>
      <c r="B27" s="17"/>
      <c r="C27" s="17"/>
      <c r="D27" s="17"/>
      <c r="E27" s="17"/>
      <c r="F27" s="17"/>
    </row>
    <row r="28" spans="1:6" ht="13.5" customHeight="1" x14ac:dyDescent="0.35">
      <c r="A28" s="17"/>
      <c r="B28" s="17"/>
      <c r="C28" s="17"/>
      <c r="D28" s="17"/>
      <c r="E28" s="17"/>
      <c r="F28" s="17"/>
    </row>
    <row r="29" spans="1:6" ht="13.5" customHeight="1" x14ac:dyDescent="0.35">
      <c r="A29" s="17"/>
      <c r="B29" s="17"/>
      <c r="C29" s="17"/>
      <c r="D29" s="17"/>
      <c r="E29" s="17"/>
      <c r="F29" s="17"/>
    </row>
    <row r="30" spans="1:6" ht="13.5" customHeight="1" x14ac:dyDescent="0.35">
      <c r="A30" s="17"/>
      <c r="B30" s="17"/>
      <c r="C30" s="17"/>
      <c r="D30" s="17"/>
      <c r="E30" s="17"/>
      <c r="F30" s="17"/>
    </row>
    <row r="31" spans="1:6" ht="13.5" customHeight="1" x14ac:dyDescent="0.35">
      <c r="A31" s="17"/>
      <c r="B31" s="17"/>
      <c r="C31" s="17"/>
      <c r="D31" s="17"/>
      <c r="E31" s="17"/>
      <c r="F31" s="17"/>
    </row>
    <row r="32" spans="1:6" ht="13.5" customHeight="1" x14ac:dyDescent="0.35">
      <c r="A32" s="17"/>
      <c r="B32" s="17"/>
      <c r="C32" s="17"/>
      <c r="D32" s="17"/>
      <c r="E32" s="17"/>
      <c r="F32" s="17"/>
    </row>
    <row r="33" spans="1:6" ht="13.5" customHeight="1" x14ac:dyDescent="0.35">
      <c r="A33" s="17"/>
      <c r="B33" s="17"/>
      <c r="C33" s="17"/>
      <c r="D33" s="17"/>
      <c r="E33" s="17"/>
      <c r="F33" s="17"/>
    </row>
    <row r="34" spans="1:6" ht="13.5" customHeight="1" x14ac:dyDescent="0.35">
      <c r="A34" s="17"/>
      <c r="B34" s="17"/>
      <c r="C34" s="17"/>
      <c r="D34" s="17"/>
      <c r="E34" s="17"/>
      <c r="F34" s="17"/>
    </row>
    <row r="35" spans="1:6" ht="13.5" customHeight="1" x14ac:dyDescent="0.35">
      <c r="A35" s="17"/>
      <c r="B35" s="17"/>
      <c r="C35" s="17"/>
      <c r="D35" s="17"/>
      <c r="E35" s="17"/>
      <c r="F35" s="17"/>
    </row>
    <row r="36" spans="1:6" ht="13.5" customHeight="1" x14ac:dyDescent="0.35">
      <c r="A36" s="17"/>
      <c r="B36" s="17"/>
      <c r="C36" s="17"/>
      <c r="D36" s="17"/>
      <c r="E36" s="17"/>
      <c r="F36" s="17"/>
    </row>
    <row r="37" spans="1:6" ht="13.5" customHeight="1" x14ac:dyDescent="0.35">
      <c r="A37" s="17"/>
      <c r="B37" s="17"/>
      <c r="C37" s="17"/>
      <c r="D37" s="17"/>
      <c r="E37" s="17"/>
      <c r="F37" s="17"/>
    </row>
    <row r="38" spans="1:6" ht="13.5" customHeight="1" x14ac:dyDescent="0.35">
      <c r="A38" s="17"/>
      <c r="B38" s="17"/>
      <c r="C38" s="17"/>
      <c r="D38" s="17"/>
      <c r="E38" s="17"/>
      <c r="F38" s="17"/>
    </row>
    <row r="39" spans="1:6" ht="13.5" customHeight="1" x14ac:dyDescent="0.35">
      <c r="A39" s="17"/>
      <c r="B39" s="17"/>
      <c r="C39" s="17"/>
      <c r="D39" s="17"/>
      <c r="E39" s="17"/>
      <c r="F39" s="17"/>
    </row>
    <row r="40" spans="1:6" ht="13.5" customHeight="1" x14ac:dyDescent="0.35">
      <c r="A40" s="17"/>
      <c r="B40" s="17"/>
      <c r="C40" s="17"/>
      <c r="D40" s="17"/>
      <c r="E40" s="17"/>
      <c r="F40" s="17"/>
    </row>
    <row r="41" spans="1:6" ht="13.5" customHeight="1" x14ac:dyDescent="0.35">
      <c r="A41" s="17"/>
      <c r="B41" s="17"/>
      <c r="C41" s="17"/>
      <c r="D41" s="17"/>
      <c r="E41" s="17"/>
      <c r="F41" s="17"/>
    </row>
    <row r="42" spans="1:6" ht="13.5" customHeight="1" x14ac:dyDescent="0.35">
      <c r="A42" s="17"/>
      <c r="B42" s="17"/>
      <c r="C42" s="17"/>
      <c r="D42" s="17"/>
      <c r="E42" s="17"/>
      <c r="F42" s="17"/>
    </row>
    <row r="43" spans="1:6" ht="13.5" customHeight="1" x14ac:dyDescent="0.35">
      <c r="A43" s="17"/>
      <c r="B43" s="17"/>
      <c r="C43" s="17"/>
      <c r="D43" s="17"/>
      <c r="E43" s="17"/>
      <c r="F43" s="17"/>
    </row>
    <row r="44" spans="1:6" ht="13.5" customHeight="1" x14ac:dyDescent="0.35">
      <c r="A44" s="17"/>
      <c r="B44" s="17"/>
      <c r="C44" s="17"/>
      <c r="D44" s="17"/>
      <c r="E44" s="17"/>
      <c r="F44" s="17"/>
    </row>
    <row r="45" spans="1:6" ht="13.5" customHeight="1" x14ac:dyDescent="0.35">
      <c r="A45" s="17"/>
      <c r="B45" s="17"/>
      <c r="C45" s="17"/>
      <c r="D45" s="17"/>
      <c r="E45" s="17"/>
      <c r="F45" s="17"/>
    </row>
    <row r="46" spans="1:6" ht="13.5" customHeight="1" x14ac:dyDescent="0.35">
      <c r="A46" s="17"/>
      <c r="B46" s="17"/>
      <c r="C46" s="17"/>
      <c r="D46" s="17"/>
      <c r="E46" s="17"/>
      <c r="F46" s="17"/>
    </row>
    <row r="47" spans="1:6" ht="13.5" customHeight="1" x14ac:dyDescent="0.35">
      <c r="A47" s="17"/>
      <c r="B47" s="17"/>
      <c r="C47" s="17"/>
      <c r="D47" s="17"/>
      <c r="E47" s="17"/>
      <c r="F47" s="17"/>
    </row>
    <row r="48" spans="1:6" ht="13.5" customHeight="1" x14ac:dyDescent="0.35">
      <c r="A48" s="17"/>
      <c r="B48" s="17"/>
      <c r="C48" s="17"/>
      <c r="D48" s="17"/>
      <c r="E48" s="17"/>
      <c r="F48" s="17"/>
    </row>
    <row r="49" spans="1:6" ht="13.5" customHeight="1" x14ac:dyDescent="0.35">
      <c r="A49" s="17"/>
      <c r="B49" s="17"/>
      <c r="C49" s="17"/>
      <c r="D49" s="17"/>
      <c r="E49" s="17"/>
      <c r="F49" s="17"/>
    </row>
    <row r="50" spans="1:6" ht="13.5" customHeight="1" x14ac:dyDescent="0.35">
      <c r="A50" s="17"/>
      <c r="B50" s="17"/>
      <c r="C50" s="17"/>
      <c r="D50" s="17"/>
      <c r="E50" s="17"/>
      <c r="F50" s="17"/>
    </row>
    <row r="51" spans="1:6" ht="13.5" customHeight="1" x14ac:dyDescent="0.35">
      <c r="A51" s="17"/>
      <c r="B51" s="17"/>
      <c r="C51" s="17"/>
      <c r="D51" s="17"/>
      <c r="E51" s="17"/>
      <c r="F51" s="17"/>
    </row>
    <row r="52" spans="1:6" ht="13.5" customHeight="1" x14ac:dyDescent="0.35">
      <c r="A52" s="17"/>
      <c r="B52" s="17"/>
      <c r="C52" s="17"/>
      <c r="D52" s="17"/>
      <c r="E52" s="17"/>
      <c r="F52" s="17"/>
    </row>
    <row r="53" spans="1:6" ht="13.5" customHeight="1" x14ac:dyDescent="0.35">
      <c r="A53" s="17"/>
      <c r="B53" s="17"/>
      <c r="C53" s="17"/>
      <c r="D53" s="17"/>
      <c r="E53" s="17"/>
      <c r="F53" s="17"/>
    </row>
    <row r="54" spans="1:6" ht="13.5" customHeight="1" x14ac:dyDescent="0.35">
      <c r="A54" s="17"/>
      <c r="B54" s="17"/>
      <c r="C54" s="17"/>
      <c r="D54" s="17"/>
      <c r="E54" s="17"/>
      <c r="F54" s="17"/>
    </row>
    <row r="55" spans="1:6" ht="13.5" customHeight="1" x14ac:dyDescent="0.35">
      <c r="A55" s="17"/>
      <c r="B55" s="17"/>
      <c r="C55" s="17"/>
      <c r="D55" s="17"/>
      <c r="E55" s="17"/>
      <c r="F55" s="17"/>
    </row>
    <row r="56" spans="1:6" ht="13.5" customHeight="1" x14ac:dyDescent="0.35">
      <c r="A56" s="17"/>
      <c r="B56" s="17"/>
      <c r="C56" s="17"/>
      <c r="D56" s="17"/>
      <c r="E56" s="17"/>
      <c r="F56" s="17"/>
    </row>
    <row r="57" spans="1:6" ht="13.5" customHeight="1" x14ac:dyDescent="0.35">
      <c r="A57" s="17"/>
      <c r="B57" s="17"/>
      <c r="C57" s="17"/>
      <c r="D57" s="17"/>
      <c r="E57" s="17"/>
      <c r="F57" s="17"/>
    </row>
    <row r="58" spans="1:6" ht="13.5" customHeight="1" x14ac:dyDescent="0.35">
      <c r="A58" s="17"/>
      <c r="B58" s="17"/>
      <c r="C58" s="17"/>
      <c r="D58" s="17"/>
      <c r="E58" s="17"/>
      <c r="F58" s="17"/>
    </row>
    <row r="59" spans="1:6" ht="13.5" customHeight="1" x14ac:dyDescent="0.35">
      <c r="A59" s="17"/>
      <c r="B59" s="17"/>
      <c r="C59" s="17"/>
      <c r="D59" s="17"/>
      <c r="E59" s="17"/>
      <c r="F59" s="17"/>
    </row>
    <row r="60" spans="1:6" ht="13.5" customHeight="1" x14ac:dyDescent="0.35">
      <c r="A60" s="17"/>
      <c r="B60" s="17"/>
      <c r="C60" s="17"/>
      <c r="D60" s="17"/>
      <c r="E60" s="17"/>
      <c r="F60" s="17"/>
    </row>
    <row r="61" spans="1:6" ht="13.5" customHeight="1" x14ac:dyDescent="0.35">
      <c r="A61" s="17"/>
      <c r="B61" s="17"/>
      <c r="C61" s="17"/>
      <c r="D61" s="17"/>
      <c r="E61" s="17"/>
      <c r="F61" s="17"/>
    </row>
    <row r="62" spans="1:6" ht="13.5" customHeight="1" x14ac:dyDescent="0.35">
      <c r="A62" s="17"/>
      <c r="B62" s="17"/>
      <c r="C62" s="17"/>
      <c r="D62" s="17"/>
      <c r="E62" s="17"/>
      <c r="F62" s="17"/>
    </row>
    <row r="63" spans="1:6" ht="13.5" customHeight="1" x14ac:dyDescent="0.35">
      <c r="A63" s="17"/>
      <c r="B63" s="17"/>
      <c r="C63" s="17"/>
      <c r="D63" s="17"/>
      <c r="E63" s="17"/>
      <c r="F63" s="17"/>
    </row>
    <row r="64" spans="1:6" ht="13.5" customHeight="1" x14ac:dyDescent="0.35">
      <c r="A64" s="17"/>
      <c r="B64" s="17"/>
      <c r="C64" s="17"/>
      <c r="D64" s="17"/>
      <c r="E64" s="17"/>
      <c r="F64" s="17"/>
    </row>
    <row r="65" spans="1:6" ht="13.5" customHeight="1" x14ac:dyDescent="0.35">
      <c r="A65" s="17"/>
      <c r="B65" s="17"/>
      <c r="C65" s="17"/>
      <c r="D65" s="17"/>
      <c r="E65" s="17"/>
      <c r="F65" s="17"/>
    </row>
    <row r="66" spans="1:6" ht="13.5" customHeight="1" x14ac:dyDescent="0.35">
      <c r="A66" s="17"/>
      <c r="B66" s="17"/>
      <c r="C66" s="17"/>
      <c r="D66" s="17"/>
      <c r="E66" s="17"/>
      <c r="F66" s="17"/>
    </row>
    <row r="67" spans="1:6" ht="13.5" customHeight="1" x14ac:dyDescent="0.35">
      <c r="A67" s="17"/>
      <c r="B67" s="17"/>
      <c r="C67" s="17"/>
      <c r="D67" s="17"/>
      <c r="E67" s="17"/>
      <c r="F67" s="17"/>
    </row>
    <row r="68" spans="1:6" ht="13.5" customHeight="1" x14ac:dyDescent="0.35">
      <c r="A68" s="17"/>
      <c r="B68" s="17"/>
      <c r="C68" s="17"/>
      <c r="D68" s="17"/>
      <c r="E68" s="17"/>
      <c r="F68" s="17"/>
    </row>
    <row r="69" spans="1:6" ht="13.5" customHeight="1" x14ac:dyDescent="0.35">
      <c r="A69" s="17"/>
      <c r="B69" s="17"/>
      <c r="C69" s="17"/>
      <c r="D69" s="17"/>
      <c r="E69" s="17"/>
      <c r="F69" s="17"/>
    </row>
    <row r="70" spans="1:6" ht="13.5" customHeight="1" x14ac:dyDescent="0.35">
      <c r="A70" s="17"/>
      <c r="B70" s="17"/>
      <c r="C70" s="17"/>
      <c r="D70" s="17"/>
      <c r="E70" s="17"/>
      <c r="F70" s="17"/>
    </row>
    <row r="71" spans="1:6" ht="13.5" customHeight="1" x14ac:dyDescent="0.35">
      <c r="A71" s="17"/>
      <c r="B71" s="17"/>
      <c r="C71" s="17"/>
      <c r="D71" s="17"/>
      <c r="E71" s="17"/>
      <c r="F71" s="17"/>
    </row>
    <row r="72" spans="1:6" ht="13.5" customHeight="1" x14ac:dyDescent="0.35">
      <c r="A72" s="17"/>
      <c r="B72" s="17"/>
      <c r="C72" s="17"/>
      <c r="D72" s="17"/>
      <c r="E72" s="17"/>
      <c r="F72" s="17"/>
    </row>
    <row r="73" spans="1:6" ht="13.5" customHeight="1" x14ac:dyDescent="0.35">
      <c r="A73" s="17"/>
      <c r="B73" s="17"/>
      <c r="C73" s="17"/>
      <c r="D73" s="17"/>
      <c r="E73" s="17"/>
      <c r="F73" s="17"/>
    </row>
    <row r="74" spans="1:6" ht="13.5" customHeight="1" x14ac:dyDescent="0.35">
      <c r="A74" s="17"/>
      <c r="B74" s="17"/>
      <c r="C74" s="17"/>
      <c r="D74" s="17"/>
      <c r="E74" s="17"/>
      <c r="F74" s="17"/>
    </row>
    <row r="75" spans="1:6" ht="13.5" customHeight="1" x14ac:dyDescent="0.35">
      <c r="A75" s="17"/>
      <c r="B75" s="17"/>
      <c r="C75" s="17"/>
      <c r="D75" s="17"/>
      <c r="E75" s="17"/>
      <c r="F75" s="17"/>
    </row>
    <row r="76" spans="1:6" ht="13.5" customHeight="1" x14ac:dyDescent="0.35">
      <c r="A76" s="17"/>
      <c r="B76" s="17"/>
      <c r="C76" s="17"/>
      <c r="D76" s="17"/>
      <c r="E76" s="17"/>
      <c r="F76" s="17"/>
    </row>
    <row r="77" spans="1:6" ht="13.5" customHeight="1" x14ac:dyDescent="0.35">
      <c r="A77" s="17"/>
      <c r="B77" s="17"/>
      <c r="C77" s="17"/>
      <c r="D77" s="17"/>
      <c r="E77" s="17"/>
      <c r="F77" s="17"/>
    </row>
    <row r="78" spans="1:6" ht="13.5" customHeight="1" x14ac:dyDescent="0.35">
      <c r="A78" s="17"/>
      <c r="B78" s="17"/>
      <c r="C78" s="17"/>
      <c r="D78" s="17"/>
      <c r="E78" s="17"/>
      <c r="F78" s="17"/>
    </row>
    <row r="79" spans="1:6" ht="13.5" customHeight="1" x14ac:dyDescent="0.35">
      <c r="A79" s="17"/>
      <c r="B79" s="17"/>
      <c r="C79" s="17"/>
      <c r="D79" s="17"/>
      <c r="E79" s="17"/>
      <c r="F79" s="17"/>
    </row>
    <row r="80" spans="1:6" ht="13.5" customHeight="1" x14ac:dyDescent="0.35">
      <c r="A80" s="17"/>
      <c r="B80" s="17"/>
      <c r="C80" s="17"/>
      <c r="D80" s="17"/>
      <c r="E80" s="17"/>
      <c r="F80" s="17"/>
    </row>
    <row r="81" spans="1:6" ht="13.5" customHeight="1" x14ac:dyDescent="0.35">
      <c r="A81" s="17"/>
      <c r="B81" s="17"/>
      <c r="C81" s="17"/>
      <c r="D81" s="17"/>
      <c r="E81" s="17"/>
      <c r="F81" s="17"/>
    </row>
    <row r="82" spans="1:6" ht="13.5" customHeight="1" x14ac:dyDescent="0.35">
      <c r="A82" s="17"/>
      <c r="B82" s="17"/>
      <c r="C82" s="17"/>
      <c r="D82" s="17"/>
      <c r="E82" s="17"/>
      <c r="F82" s="17"/>
    </row>
    <row r="83" spans="1:6" ht="13.5" customHeight="1" x14ac:dyDescent="0.35">
      <c r="A83" s="17"/>
      <c r="B83" s="17"/>
      <c r="C83" s="17"/>
      <c r="D83" s="17"/>
      <c r="E83" s="17"/>
      <c r="F83" s="17"/>
    </row>
    <row r="84" spans="1:6" ht="13.5" customHeight="1" x14ac:dyDescent="0.35">
      <c r="A84" s="17"/>
      <c r="B84" s="17"/>
      <c r="C84" s="17"/>
      <c r="D84" s="17"/>
      <c r="E84" s="17"/>
      <c r="F84" s="17"/>
    </row>
    <row r="85" spans="1:6" ht="13.5" customHeight="1" x14ac:dyDescent="0.35">
      <c r="A85" s="17"/>
      <c r="B85" s="17"/>
      <c r="C85" s="17"/>
      <c r="D85" s="17"/>
      <c r="E85" s="17"/>
      <c r="F85" s="17"/>
    </row>
    <row r="86" spans="1:6" ht="13.5" customHeight="1" x14ac:dyDescent="0.35">
      <c r="A86" s="17"/>
      <c r="B86" s="17"/>
      <c r="C86" s="17"/>
      <c r="D86" s="17"/>
      <c r="E86" s="17"/>
      <c r="F86" s="17"/>
    </row>
    <row r="87" spans="1:6" ht="13.5" customHeight="1" x14ac:dyDescent="0.35">
      <c r="A87" s="17"/>
      <c r="B87" s="17"/>
      <c r="C87" s="17"/>
      <c r="D87" s="17"/>
      <c r="E87" s="17"/>
      <c r="F87" s="17"/>
    </row>
    <row r="88" spans="1:6" ht="13.5" customHeight="1" x14ac:dyDescent="0.35">
      <c r="A88" s="17"/>
      <c r="B88" s="17"/>
      <c r="C88" s="17"/>
      <c r="D88" s="17"/>
      <c r="E88" s="17"/>
      <c r="F88" s="17"/>
    </row>
    <row r="89" spans="1:6" ht="13.5" customHeight="1" x14ac:dyDescent="0.35">
      <c r="A89" s="17"/>
      <c r="B89" s="17"/>
      <c r="C89" s="17"/>
      <c r="D89" s="17"/>
      <c r="E89" s="17"/>
      <c r="F89" s="17"/>
    </row>
    <row r="90" spans="1:6" ht="13.5" customHeight="1" x14ac:dyDescent="0.35">
      <c r="A90" s="17"/>
      <c r="B90" s="17"/>
      <c r="C90" s="17"/>
      <c r="D90" s="17"/>
      <c r="E90" s="17"/>
      <c r="F90" s="17"/>
    </row>
    <row r="91" spans="1:6" ht="13.5" customHeight="1" x14ac:dyDescent="0.35">
      <c r="A91" s="17"/>
      <c r="B91" s="17"/>
      <c r="C91" s="17"/>
      <c r="D91" s="17"/>
      <c r="E91" s="17"/>
      <c r="F91" s="17"/>
    </row>
    <row r="92" spans="1:6" ht="13.5" customHeight="1" x14ac:dyDescent="0.35">
      <c r="A92" s="17"/>
      <c r="B92" s="17"/>
      <c r="C92" s="17"/>
      <c r="D92" s="17"/>
      <c r="E92" s="17"/>
      <c r="F92" s="17"/>
    </row>
    <row r="93" spans="1:6" ht="13.5" customHeight="1" x14ac:dyDescent="0.35">
      <c r="A93" s="17"/>
      <c r="B93" s="17"/>
      <c r="C93" s="17"/>
      <c r="D93" s="17"/>
      <c r="E93" s="17"/>
      <c r="F93" s="17"/>
    </row>
    <row r="94" spans="1:6" ht="13.5" customHeight="1" x14ac:dyDescent="0.35">
      <c r="A94" s="17"/>
      <c r="B94" s="17"/>
      <c r="C94" s="17"/>
      <c r="D94" s="17"/>
      <c r="E94" s="17"/>
      <c r="F94" s="17"/>
    </row>
    <row r="95" spans="1:6" ht="13.5" customHeight="1" x14ac:dyDescent="0.35">
      <c r="A95" s="17"/>
      <c r="B95" s="17"/>
      <c r="C95" s="17"/>
      <c r="D95" s="17"/>
      <c r="E95" s="17"/>
      <c r="F95" s="17"/>
    </row>
    <row r="96" spans="1:6" ht="13.5" customHeight="1" x14ac:dyDescent="0.35">
      <c r="A96" s="17"/>
      <c r="B96" s="17"/>
      <c r="C96" s="17"/>
      <c r="D96" s="17"/>
      <c r="E96" s="17"/>
      <c r="F96" s="17"/>
    </row>
    <row r="97" spans="1:6" ht="13.5" customHeight="1" x14ac:dyDescent="0.35">
      <c r="A97" s="17"/>
      <c r="B97" s="17"/>
      <c r="C97" s="17"/>
      <c r="D97" s="17"/>
      <c r="E97" s="17"/>
      <c r="F97" s="17"/>
    </row>
    <row r="98" spans="1:6" ht="13.5" customHeight="1" x14ac:dyDescent="0.35">
      <c r="A98" s="17"/>
      <c r="B98" s="17"/>
      <c r="C98" s="17"/>
      <c r="D98" s="17"/>
      <c r="E98" s="17"/>
      <c r="F98" s="17"/>
    </row>
    <row r="99" spans="1:6" ht="13.5" customHeight="1" x14ac:dyDescent="0.35">
      <c r="A99" s="17"/>
      <c r="B99" s="17"/>
      <c r="C99" s="17"/>
      <c r="D99" s="17"/>
      <c r="E99" s="17"/>
      <c r="F99" s="17"/>
    </row>
    <row r="100" spans="1:6" ht="13.5" customHeight="1" x14ac:dyDescent="0.35">
      <c r="A100" s="17"/>
      <c r="B100" s="17"/>
      <c r="C100" s="17"/>
      <c r="D100" s="17"/>
      <c r="E100" s="17"/>
      <c r="F100" s="17"/>
    </row>
    <row r="101" spans="1:6" ht="13.5" customHeight="1" x14ac:dyDescent="0.35">
      <c r="A101" s="17"/>
      <c r="B101" s="17"/>
      <c r="C101" s="17"/>
      <c r="D101" s="17"/>
      <c r="E101" s="17"/>
      <c r="F101" s="17"/>
    </row>
    <row r="102" spans="1:6" ht="13.5" customHeight="1" x14ac:dyDescent="0.35">
      <c r="A102" s="17"/>
      <c r="B102" s="17"/>
      <c r="C102" s="17"/>
      <c r="D102" s="17"/>
      <c r="E102" s="17"/>
      <c r="F102" s="17"/>
    </row>
    <row r="103" spans="1:6" ht="13.5" customHeight="1" x14ac:dyDescent="0.35">
      <c r="A103" s="17"/>
      <c r="B103" s="17"/>
      <c r="C103" s="17"/>
      <c r="D103" s="17"/>
      <c r="E103" s="17"/>
      <c r="F103" s="17"/>
    </row>
    <row r="104" spans="1:6" ht="13.5" customHeight="1" x14ac:dyDescent="0.35">
      <c r="A104" s="17"/>
      <c r="B104" s="17"/>
      <c r="C104" s="17"/>
      <c r="D104" s="17"/>
      <c r="E104" s="17"/>
      <c r="F104" s="17"/>
    </row>
    <row r="105" spans="1:6" ht="13.5" customHeight="1" x14ac:dyDescent="0.35">
      <c r="A105" s="17"/>
      <c r="B105" s="17"/>
      <c r="C105" s="17"/>
      <c r="D105" s="17"/>
      <c r="E105" s="17"/>
      <c r="F105" s="17"/>
    </row>
    <row r="106" spans="1:6" ht="13.5" customHeight="1" x14ac:dyDescent="0.35">
      <c r="A106" s="17"/>
      <c r="B106" s="17"/>
      <c r="C106" s="17"/>
      <c r="D106" s="17"/>
      <c r="E106" s="17"/>
      <c r="F106" s="17"/>
    </row>
    <row r="107" spans="1:6" ht="13.5" customHeight="1" x14ac:dyDescent="0.35">
      <c r="A107" s="17"/>
      <c r="B107" s="17"/>
      <c r="C107" s="17"/>
      <c r="D107" s="17"/>
      <c r="E107" s="17"/>
      <c r="F107" s="17"/>
    </row>
    <row r="108" spans="1:6" ht="13.5" customHeight="1" x14ac:dyDescent="0.35">
      <c r="A108" s="17"/>
      <c r="B108" s="17"/>
      <c r="C108" s="17"/>
      <c r="D108" s="17"/>
      <c r="E108" s="17"/>
      <c r="F108" s="17"/>
    </row>
    <row r="109" spans="1:6" ht="13.5" customHeight="1" x14ac:dyDescent="0.35">
      <c r="A109" s="17"/>
      <c r="B109" s="17"/>
      <c r="C109" s="17"/>
      <c r="D109" s="17"/>
      <c r="E109" s="17"/>
      <c r="F109" s="17"/>
    </row>
    <row r="110" spans="1:6" ht="13.5" customHeight="1" x14ac:dyDescent="0.35">
      <c r="A110" s="17"/>
      <c r="B110" s="17"/>
      <c r="C110" s="17"/>
      <c r="D110" s="17"/>
      <c r="E110" s="17"/>
      <c r="F110" s="17"/>
    </row>
    <row r="111" spans="1:6" ht="13.5" customHeight="1" x14ac:dyDescent="0.35">
      <c r="A111" s="17"/>
      <c r="B111" s="17"/>
      <c r="C111" s="17"/>
      <c r="D111" s="17"/>
      <c r="E111" s="17"/>
      <c r="F111" s="17"/>
    </row>
    <row r="112" spans="1:6" ht="13.5" customHeight="1" x14ac:dyDescent="0.35">
      <c r="A112" s="17"/>
      <c r="B112" s="17"/>
      <c r="C112" s="17"/>
      <c r="D112" s="17"/>
      <c r="E112" s="17"/>
      <c r="F112" s="17"/>
    </row>
    <row r="113" spans="1:6" ht="13.5" customHeight="1" x14ac:dyDescent="0.35">
      <c r="A113" s="17"/>
      <c r="B113" s="17"/>
      <c r="C113" s="17"/>
      <c r="D113" s="17"/>
      <c r="E113" s="17"/>
      <c r="F113" s="17"/>
    </row>
    <row r="114" spans="1:6" ht="13.5" customHeight="1" x14ac:dyDescent="0.35">
      <c r="A114" s="17"/>
      <c r="B114" s="17"/>
      <c r="C114" s="17"/>
      <c r="D114" s="17"/>
      <c r="E114" s="17"/>
      <c r="F114" s="17"/>
    </row>
    <row r="115" spans="1:6" ht="13.5" customHeight="1" x14ac:dyDescent="0.35">
      <c r="A115" s="17"/>
      <c r="B115" s="17"/>
      <c r="C115" s="17"/>
      <c r="D115" s="17"/>
      <c r="E115" s="17"/>
      <c r="F115" s="17"/>
    </row>
    <row r="116" spans="1:6" ht="13.5" customHeight="1" x14ac:dyDescent="0.35">
      <c r="A116" s="17"/>
      <c r="B116" s="17"/>
      <c r="C116" s="17"/>
      <c r="D116" s="17"/>
      <c r="E116" s="17"/>
      <c r="F116" s="17"/>
    </row>
    <row r="117" spans="1:6" ht="13.5" customHeight="1" x14ac:dyDescent="0.35">
      <c r="A117" s="17"/>
      <c r="B117" s="17"/>
      <c r="C117" s="17"/>
      <c r="D117" s="17"/>
      <c r="E117" s="17"/>
      <c r="F117" s="17"/>
    </row>
    <row r="118" spans="1:6" ht="13.5" customHeight="1" x14ac:dyDescent="0.35">
      <c r="A118" s="17"/>
      <c r="B118" s="17"/>
      <c r="C118" s="17"/>
      <c r="D118" s="17"/>
      <c r="E118" s="17"/>
      <c r="F118" s="17"/>
    </row>
    <row r="119" spans="1:6" ht="13.5" customHeight="1" x14ac:dyDescent="0.35">
      <c r="A119" s="17"/>
      <c r="B119" s="17"/>
      <c r="C119" s="17"/>
      <c r="D119" s="17"/>
      <c r="E119" s="17"/>
      <c r="F119" s="17"/>
    </row>
    <row r="120" spans="1:6" ht="13.5" customHeight="1" x14ac:dyDescent="0.35">
      <c r="A120" s="17"/>
      <c r="B120" s="17"/>
      <c r="C120" s="17"/>
      <c r="D120" s="17"/>
      <c r="E120" s="17"/>
      <c r="F120" s="17"/>
    </row>
    <row r="121" spans="1:6" ht="13.5" customHeight="1" x14ac:dyDescent="0.35">
      <c r="A121" s="17"/>
      <c r="B121" s="17"/>
      <c r="C121" s="17"/>
      <c r="D121" s="17"/>
      <c r="E121" s="17"/>
      <c r="F121" s="17"/>
    </row>
    <row r="122" spans="1:6" ht="13.5" customHeight="1" x14ac:dyDescent="0.35">
      <c r="A122" s="17"/>
      <c r="B122" s="17"/>
      <c r="C122" s="17"/>
      <c r="D122" s="17"/>
      <c r="E122" s="17"/>
      <c r="F122" s="17"/>
    </row>
    <row r="123" spans="1:6" ht="13.5" customHeight="1" x14ac:dyDescent="0.35">
      <c r="A123" s="17"/>
      <c r="B123" s="17"/>
      <c r="C123" s="17"/>
      <c r="D123" s="17"/>
      <c r="E123" s="17"/>
      <c r="F123" s="17"/>
    </row>
    <row r="124" spans="1:6" ht="13.5" customHeight="1" x14ac:dyDescent="0.35">
      <c r="A124" s="17"/>
      <c r="B124" s="17"/>
      <c r="C124" s="17"/>
      <c r="D124" s="17"/>
      <c r="E124" s="17"/>
      <c r="F124" s="17"/>
    </row>
    <row r="125" spans="1:6" ht="13.5" customHeight="1" x14ac:dyDescent="0.35">
      <c r="A125" s="17"/>
      <c r="B125" s="17"/>
      <c r="C125" s="17"/>
      <c r="D125" s="17"/>
      <c r="E125" s="17"/>
      <c r="F125" s="17"/>
    </row>
    <row r="126" spans="1:6" ht="13.5" customHeight="1" x14ac:dyDescent="0.35">
      <c r="A126" s="17"/>
      <c r="B126" s="17"/>
      <c r="C126" s="17"/>
      <c r="D126" s="17"/>
      <c r="E126" s="17"/>
      <c r="F126" s="17"/>
    </row>
    <row r="127" spans="1:6" ht="13.5" customHeight="1" x14ac:dyDescent="0.35">
      <c r="A127" s="17"/>
      <c r="B127" s="17"/>
      <c r="C127" s="17"/>
      <c r="D127" s="17"/>
      <c r="E127" s="17"/>
      <c r="F127" s="17"/>
    </row>
    <row r="128" spans="1:6" ht="13.5" customHeight="1" x14ac:dyDescent="0.35">
      <c r="A128" s="17"/>
      <c r="B128" s="17"/>
      <c r="C128" s="17"/>
      <c r="D128" s="17"/>
      <c r="E128" s="17"/>
      <c r="F128" s="17"/>
    </row>
    <row r="129" spans="1:6" ht="13.5" customHeight="1" x14ac:dyDescent="0.35">
      <c r="A129" s="17"/>
      <c r="B129" s="17"/>
      <c r="C129" s="17"/>
      <c r="D129" s="17"/>
      <c r="E129" s="17"/>
      <c r="F129" s="17"/>
    </row>
    <row r="130" spans="1:6" ht="13.5" customHeight="1" x14ac:dyDescent="0.35">
      <c r="A130" s="17"/>
      <c r="B130" s="17"/>
      <c r="C130" s="17"/>
      <c r="D130" s="17"/>
      <c r="E130" s="17"/>
      <c r="F130" s="17"/>
    </row>
    <row r="131" spans="1:6" ht="13.5" customHeight="1" x14ac:dyDescent="0.35">
      <c r="A131" s="17"/>
      <c r="B131" s="17"/>
      <c r="C131" s="17"/>
      <c r="D131" s="17"/>
      <c r="E131" s="17"/>
      <c r="F131" s="17"/>
    </row>
    <row r="132" spans="1:6" ht="13.5" customHeight="1" x14ac:dyDescent="0.35">
      <c r="A132" s="17"/>
      <c r="B132" s="17"/>
      <c r="C132" s="17"/>
      <c r="D132" s="17"/>
      <c r="E132" s="17"/>
      <c r="F132" s="17"/>
    </row>
    <row r="133" spans="1:6" ht="13.5" customHeight="1" x14ac:dyDescent="0.35">
      <c r="A133" s="17"/>
      <c r="B133" s="17"/>
      <c r="C133" s="17"/>
      <c r="D133" s="17"/>
      <c r="E133" s="17"/>
      <c r="F133" s="17"/>
    </row>
    <row r="134" spans="1:6" ht="13.5" customHeight="1" x14ac:dyDescent="0.35">
      <c r="A134" s="17"/>
      <c r="B134" s="17"/>
      <c r="C134" s="17"/>
      <c r="D134" s="17"/>
      <c r="E134" s="17"/>
      <c r="F134" s="17"/>
    </row>
    <row r="135" spans="1:6" ht="13.5" customHeight="1" x14ac:dyDescent="0.35">
      <c r="A135" s="17"/>
      <c r="B135" s="17"/>
      <c r="C135" s="17"/>
      <c r="D135" s="17"/>
      <c r="E135" s="17"/>
      <c r="F135" s="17"/>
    </row>
    <row r="136" spans="1:6" ht="13.5" customHeight="1" x14ac:dyDescent="0.35">
      <c r="A136" s="17"/>
      <c r="B136" s="17"/>
      <c r="C136" s="17"/>
      <c r="D136" s="17"/>
      <c r="E136" s="17"/>
      <c r="F136" s="17"/>
    </row>
    <row r="137" spans="1:6" ht="13.5" customHeight="1" x14ac:dyDescent="0.35">
      <c r="A137" s="17"/>
      <c r="B137" s="17"/>
      <c r="C137" s="17"/>
      <c r="D137" s="17"/>
      <c r="E137" s="17"/>
      <c r="F137" s="17"/>
    </row>
    <row r="138" spans="1:6" ht="13.5" customHeight="1" x14ac:dyDescent="0.35">
      <c r="A138" s="17"/>
      <c r="B138" s="17"/>
      <c r="C138" s="17"/>
      <c r="D138" s="17"/>
      <c r="E138" s="17"/>
      <c r="F138" s="17"/>
    </row>
    <row r="139" spans="1:6" ht="13.5" customHeight="1" x14ac:dyDescent="0.35">
      <c r="A139" s="17"/>
      <c r="B139" s="17"/>
      <c r="C139" s="17"/>
      <c r="D139" s="17"/>
      <c r="E139" s="17"/>
      <c r="F139" s="17"/>
    </row>
    <row r="140" spans="1:6" ht="13.5" customHeight="1" x14ac:dyDescent="0.35">
      <c r="A140" s="17"/>
      <c r="B140" s="17"/>
      <c r="C140" s="17"/>
      <c r="D140" s="17"/>
      <c r="E140" s="17"/>
      <c r="F140" s="17"/>
    </row>
    <row r="141" spans="1:6" ht="13.5" customHeight="1" x14ac:dyDescent="0.35">
      <c r="A141" s="17"/>
      <c r="B141" s="17"/>
      <c r="C141" s="17"/>
      <c r="D141" s="17"/>
      <c r="E141" s="17"/>
      <c r="F141" s="17"/>
    </row>
    <row r="142" spans="1:6" ht="13.5" customHeight="1" x14ac:dyDescent="0.35">
      <c r="A142" s="17"/>
      <c r="B142" s="17"/>
      <c r="C142" s="17"/>
      <c r="D142" s="17"/>
      <c r="E142" s="17"/>
      <c r="F142" s="17"/>
    </row>
    <row r="143" spans="1:6" ht="13.5" customHeight="1" x14ac:dyDescent="0.35">
      <c r="A143" s="17"/>
      <c r="B143" s="17"/>
      <c r="C143" s="17"/>
      <c r="D143" s="17"/>
      <c r="E143" s="17"/>
      <c r="F143" s="17"/>
    </row>
    <row r="144" spans="1:6" ht="13.5" customHeight="1" x14ac:dyDescent="0.35">
      <c r="A144" s="17"/>
      <c r="B144" s="17"/>
      <c r="C144" s="17"/>
      <c r="D144" s="17"/>
      <c r="E144" s="17"/>
      <c r="F144" s="17"/>
    </row>
    <row r="145" spans="1:6" ht="13.5" customHeight="1" x14ac:dyDescent="0.35">
      <c r="A145" s="17"/>
      <c r="B145" s="17"/>
      <c r="C145" s="17"/>
      <c r="D145" s="17"/>
      <c r="E145" s="17"/>
      <c r="F145" s="17"/>
    </row>
    <row r="146" spans="1:6" ht="13.5" customHeight="1" x14ac:dyDescent="0.35">
      <c r="A146" s="17"/>
      <c r="B146" s="17"/>
      <c r="C146" s="17"/>
      <c r="D146" s="17"/>
      <c r="E146" s="17"/>
      <c r="F146" s="17"/>
    </row>
    <row r="147" spans="1:6" ht="13.5" customHeight="1" x14ac:dyDescent="0.35">
      <c r="A147" s="17"/>
      <c r="B147" s="17"/>
      <c r="C147" s="17"/>
      <c r="D147" s="17"/>
      <c r="E147" s="17"/>
      <c r="F147" s="17"/>
    </row>
    <row r="148" spans="1:6" ht="13.5" customHeight="1" x14ac:dyDescent="0.35">
      <c r="A148" s="17"/>
      <c r="B148" s="17"/>
      <c r="C148" s="17"/>
      <c r="D148" s="17"/>
      <c r="E148" s="17"/>
      <c r="F148" s="17"/>
    </row>
    <row r="149" spans="1:6" ht="13.5" customHeight="1" x14ac:dyDescent="0.35">
      <c r="A149" s="17"/>
      <c r="B149" s="17"/>
      <c r="C149" s="17"/>
      <c r="D149" s="17"/>
      <c r="E149" s="17"/>
      <c r="F149" s="17"/>
    </row>
    <row r="150" spans="1:6" ht="13.5" customHeight="1" x14ac:dyDescent="0.35">
      <c r="A150" s="17"/>
      <c r="B150" s="17"/>
      <c r="C150" s="17"/>
      <c r="D150" s="17"/>
      <c r="E150" s="17"/>
      <c r="F150" s="17"/>
    </row>
    <row r="151" spans="1:6" ht="13.5" customHeight="1" x14ac:dyDescent="0.35">
      <c r="A151" s="17"/>
      <c r="B151" s="17"/>
      <c r="C151" s="17"/>
      <c r="D151" s="17"/>
      <c r="E151" s="17"/>
      <c r="F151" s="17"/>
    </row>
    <row r="152" spans="1:6" ht="13.5" customHeight="1" x14ac:dyDescent="0.35">
      <c r="A152" s="17"/>
      <c r="B152" s="17"/>
      <c r="C152" s="17"/>
      <c r="D152" s="17"/>
      <c r="E152" s="17"/>
      <c r="F152" s="17"/>
    </row>
    <row r="153" spans="1:6" ht="13.5" customHeight="1" x14ac:dyDescent="0.35">
      <c r="A153" s="17"/>
      <c r="B153" s="17"/>
      <c r="C153" s="17"/>
      <c r="D153" s="17"/>
      <c r="E153" s="17"/>
      <c r="F153" s="17"/>
    </row>
    <row r="154" spans="1:6" ht="13.5" customHeight="1" x14ac:dyDescent="0.35">
      <c r="A154" s="17"/>
      <c r="B154" s="17"/>
      <c r="C154" s="17"/>
      <c r="D154" s="17"/>
      <c r="E154" s="17"/>
      <c r="F154" s="17"/>
    </row>
    <row r="155" spans="1:6" ht="13.5" customHeight="1" x14ac:dyDescent="0.35">
      <c r="A155" s="17"/>
      <c r="B155" s="17"/>
      <c r="C155" s="17"/>
      <c r="D155" s="17"/>
      <c r="E155" s="17"/>
      <c r="F155" s="17"/>
    </row>
    <row r="156" spans="1:6" ht="13.5" customHeight="1" x14ac:dyDescent="0.35">
      <c r="A156" s="17"/>
      <c r="B156" s="17"/>
      <c r="C156" s="17"/>
      <c r="D156" s="17"/>
      <c r="E156" s="17"/>
      <c r="F156" s="17"/>
    </row>
    <row r="157" spans="1:6" ht="13.5" customHeight="1" x14ac:dyDescent="0.35">
      <c r="A157" s="17"/>
      <c r="B157" s="17"/>
      <c r="C157" s="17"/>
      <c r="D157" s="17"/>
      <c r="E157" s="17"/>
      <c r="F157" s="17"/>
    </row>
    <row r="158" spans="1:6" ht="13.5" customHeight="1" x14ac:dyDescent="0.35">
      <c r="A158" s="17"/>
      <c r="B158" s="17"/>
      <c r="C158" s="17"/>
      <c r="D158" s="17"/>
      <c r="E158" s="17"/>
      <c r="F158" s="17"/>
    </row>
    <row r="159" spans="1:6" ht="13.5" customHeight="1" x14ac:dyDescent="0.35">
      <c r="A159" s="17"/>
      <c r="B159" s="17"/>
      <c r="C159" s="17"/>
      <c r="D159" s="17"/>
      <c r="E159" s="17"/>
      <c r="F159" s="17"/>
    </row>
    <row r="160" spans="1:6" ht="13.5" customHeight="1" x14ac:dyDescent="0.35">
      <c r="A160" s="17"/>
      <c r="B160" s="17"/>
      <c r="C160" s="17"/>
      <c r="D160" s="17"/>
      <c r="E160" s="17"/>
      <c r="F160" s="17"/>
    </row>
    <row r="161" spans="1:6" ht="13.5" customHeight="1" x14ac:dyDescent="0.35">
      <c r="A161" s="17"/>
      <c r="B161" s="17"/>
      <c r="C161" s="17"/>
      <c r="D161" s="17"/>
      <c r="E161" s="17"/>
      <c r="F161" s="17"/>
    </row>
    <row r="162" spans="1:6" ht="13.5" customHeight="1" x14ac:dyDescent="0.35">
      <c r="A162" s="17"/>
      <c r="B162" s="17"/>
      <c r="C162" s="17"/>
      <c r="D162" s="17"/>
      <c r="E162" s="17"/>
      <c r="F162" s="17"/>
    </row>
    <row r="163" spans="1:6" ht="13.5" customHeight="1" x14ac:dyDescent="0.35">
      <c r="A163" s="17"/>
      <c r="B163" s="17"/>
      <c r="C163" s="17"/>
      <c r="D163" s="17"/>
      <c r="E163" s="17"/>
      <c r="F163" s="17"/>
    </row>
    <row r="164" spans="1:6" ht="13.5" customHeight="1" x14ac:dyDescent="0.35">
      <c r="A164" s="17"/>
      <c r="B164" s="17"/>
      <c r="C164" s="17"/>
      <c r="D164" s="17"/>
      <c r="E164" s="17"/>
      <c r="F164" s="17"/>
    </row>
    <row r="165" spans="1:6" ht="13.5" customHeight="1" x14ac:dyDescent="0.35">
      <c r="A165" s="17"/>
      <c r="B165" s="17"/>
      <c r="C165" s="17"/>
      <c r="D165" s="17"/>
      <c r="E165" s="17"/>
      <c r="F165" s="17"/>
    </row>
    <row r="166" spans="1:6" ht="13.5" customHeight="1" x14ac:dyDescent="0.35">
      <c r="A166" s="17"/>
      <c r="B166" s="17"/>
      <c r="C166" s="17"/>
      <c r="D166" s="17"/>
      <c r="E166" s="17"/>
      <c r="F166" s="17"/>
    </row>
    <row r="167" spans="1:6" ht="13.5" customHeight="1" x14ac:dyDescent="0.35">
      <c r="A167" s="17"/>
      <c r="B167" s="17"/>
      <c r="C167" s="17"/>
      <c r="D167" s="17"/>
      <c r="E167" s="17"/>
      <c r="F167" s="17"/>
    </row>
    <row r="168" spans="1:6" ht="13.5" customHeight="1" x14ac:dyDescent="0.35">
      <c r="A168" s="17"/>
      <c r="B168" s="17"/>
      <c r="C168" s="17"/>
      <c r="D168" s="17"/>
      <c r="E168" s="17"/>
      <c r="F168" s="17"/>
    </row>
    <row r="169" spans="1:6" ht="13.5" customHeight="1" x14ac:dyDescent="0.35">
      <c r="A169" s="17"/>
      <c r="B169" s="17"/>
      <c r="C169" s="17"/>
      <c r="D169" s="17"/>
      <c r="E169" s="17"/>
      <c r="F169" s="17"/>
    </row>
    <row r="170" spans="1:6" ht="13.5" customHeight="1" x14ac:dyDescent="0.35">
      <c r="A170" s="17"/>
      <c r="B170" s="17"/>
      <c r="C170" s="17"/>
      <c r="D170" s="17"/>
      <c r="E170" s="17"/>
      <c r="F170" s="17"/>
    </row>
    <row r="171" spans="1:6" ht="13.5" customHeight="1" x14ac:dyDescent="0.35">
      <c r="A171" s="17"/>
      <c r="B171" s="17"/>
      <c r="C171" s="17"/>
      <c r="D171" s="17"/>
      <c r="E171" s="17"/>
      <c r="F171" s="17"/>
    </row>
    <row r="172" spans="1:6" ht="13.5" customHeight="1" x14ac:dyDescent="0.35">
      <c r="A172" s="17"/>
      <c r="B172" s="17"/>
      <c r="C172" s="17"/>
      <c r="D172" s="17"/>
      <c r="E172" s="17"/>
      <c r="F172" s="17"/>
    </row>
    <row r="173" spans="1:6" ht="13.5" customHeight="1" x14ac:dyDescent="0.35">
      <c r="A173" s="17"/>
      <c r="B173" s="17"/>
      <c r="C173" s="17"/>
      <c r="D173" s="17"/>
      <c r="E173" s="17"/>
      <c r="F173" s="17"/>
    </row>
    <row r="174" spans="1:6" ht="13.5" customHeight="1" x14ac:dyDescent="0.35">
      <c r="A174" s="17"/>
      <c r="B174" s="17"/>
      <c r="C174" s="17"/>
      <c r="D174" s="17"/>
      <c r="E174" s="17"/>
      <c r="F174" s="17"/>
    </row>
    <row r="175" spans="1:6" ht="13.5" customHeight="1" x14ac:dyDescent="0.35">
      <c r="A175" s="17"/>
      <c r="B175" s="17"/>
      <c r="C175" s="17"/>
      <c r="D175" s="17"/>
      <c r="E175" s="17"/>
      <c r="F175" s="17"/>
    </row>
    <row r="176" spans="1:6" ht="13.5" customHeight="1" x14ac:dyDescent="0.35">
      <c r="A176" s="17"/>
      <c r="B176" s="17"/>
      <c r="C176" s="17"/>
      <c r="D176" s="17"/>
      <c r="E176" s="17"/>
      <c r="F176" s="17"/>
    </row>
    <row r="177" spans="1:6" ht="13.5" customHeight="1" x14ac:dyDescent="0.35">
      <c r="A177" s="17"/>
      <c r="B177" s="17"/>
      <c r="C177" s="17"/>
      <c r="D177" s="17"/>
      <c r="E177" s="17"/>
      <c r="F177" s="17"/>
    </row>
    <row r="178" spans="1:6" ht="13.5" customHeight="1" x14ac:dyDescent="0.35">
      <c r="A178" s="17"/>
      <c r="B178" s="17"/>
      <c r="C178" s="17"/>
      <c r="D178" s="17"/>
      <c r="E178" s="17"/>
      <c r="F178" s="17"/>
    </row>
    <row r="179" spans="1:6" ht="13.5" customHeight="1" x14ac:dyDescent="0.35">
      <c r="A179" s="17"/>
      <c r="B179" s="17"/>
      <c r="C179" s="17"/>
      <c r="D179" s="17"/>
      <c r="E179" s="17"/>
      <c r="F179" s="17"/>
    </row>
    <row r="180" spans="1:6" ht="13.5" customHeight="1" x14ac:dyDescent="0.35">
      <c r="A180" s="17"/>
      <c r="B180" s="17"/>
      <c r="C180" s="17"/>
      <c r="D180" s="17"/>
      <c r="E180" s="17"/>
      <c r="F180" s="17"/>
    </row>
    <row r="181" spans="1:6" ht="13.5" customHeight="1" x14ac:dyDescent="0.35">
      <c r="A181" s="17"/>
      <c r="B181" s="17"/>
      <c r="C181" s="17"/>
      <c r="D181" s="17"/>
      <c r="E181" s="17"/>
      <c r="F181" s="17"/>
    </row>
    <row r="182" spans="1:6" ht="13.5" customHeight="1" x14ac:dyDescent="0.35">
      <c r="A182" s="17"/>
      <c r="B182" s="17"/>
      <c r="C182" s="17"/>
      <c r="D182" s="17"/>
      <c r="E182" s="17"/>
      <c r="F182" s="17"/>
    </row>
    <row r="183" spans="1:6" ht="13.5" customHeight="1" x14ac:dyDescent="0.35">
      <c r="A183" s="17"/>
      <c r="B183" s="17"/>
      <c r="C183" s="17"/>
      <c r="D183" s="17"/>
      <c r="E183" s="17"/>
      <c r="F183" s="17"/>
    </row>
    <row r="184" spans="1:6" ht="13.5" customHeight="1" x14ac:dyDescent="0.35">
      <c r="A184" s="17"/>
      <c r="B184" s="17"/>
      <c r="C184" s="17"/>
      <c r="D184" s="17"/>
      <c r="E184" s="17"/>
      <c r="F184" s="17"/>
    </row>
    <row r="185" spans="1:6" ht="13.5" customHeight="1" x14ac:dyDescent="0.35">
      <c r="A185" s="17"/>
      <c r="B185" s="17"/>
      <c r="C185" s="17"/>
      <c r="D185" s="17"/>
      <c r="E185" s="17"/>
      <c r="F185" s="17"/>
    </row>
    <row r="186" spans="1:6" ht="13.5" customHeight="1" x14ac:dyDescent="0.35">
      <c r="A186" s="17"/>
      <c r="B186" s="17"/>
      <c r="C186" s="17"/>
      <c r="D186" s="17"/>
      <c r="E186" s="17"/>
      <c r="F186" s="17"/>
    </row>
    <row r="187" spans="1:6" ht="13.5" customHeight="1" x14ac:dyDescent="0.35">
      <c r="A187" s="17"/>
      <c r="B187" s="17"/>
      <c r="C187" s="17"/>
      <c r="D187" s="17"/>
      <c r="E187" s="17"/>
      <c r="F187" s="17"/>
    </row>
    <row r="188" spans="1:6" ht="13.5" customHeight="1" x14ac:dyDescent="0.35">
      <c r="A188" s="17"/>
      <c r="B188" s="17"/>
      <c r="C188" s="17"/>
      <c r="D188" s="17"/>
      <c r="E188" s="17"/>
      <c r="F188" s="17"/>
    </row>
    <row r="189" spans="1:6" ht="13.5" customHeight="1" x14ac:dyDescent="0.35">
      <c r="A189" s="17"/>
      <c r="B189" s="17"/>
      <c r="C189" s="17"/>
      <c r="D189" s="17"/>
      <c r="E189" s="17"/>
      <c r="F189" s="17"/>
    </row>
    <row r="190" spans="1:6" ht="13.5" customHeight="1" x14ac:dyDescent="0.35">
      <c r="A190" s="17"/>
      <c r="B190" s="17"/>
      <c r="C190" s="17"/>
      <c r="D190" s="17"/>
      <c r="E190" s="17"/>
      <c r="F190" s="17"/>
    </row>
    <row r="191" spans="1:6" ht="13.5" customHeight="1" x14ac:dyDescent="0.35">
      <c r="A191" s="17"/>
      <c r="B191" s="17"/>
      <c r="C191" s="17"/>
      <c r="D191" s="17"/>
      <c r="E191" s="17"/>
      <c r="F191" s="17"/>
    </row>
    <row r="192" spans="1:6" ht="13.5" customHeight="1" x14ac:dyDescent="0.35">
      <c r="A192" s="17"/>
      <c r="B192" s="17"/>
      <c r="C192" s="17"/>
      <c r="D192" s="17"/>
      <c r="E192" s="17"/>
      <c r="F192" s="17"/>
    </row>
    <row r="193" spans="1:6" ht="13.5" customHeight="1" x14ac:dyDescent="0.35">
      <c r="A193" s="17"/>
      <c r="B193" s="17"/>
      <c r="C193" s="17"/>
      <c r="D193" s="17"/>
      <c r="E193" s="17"/>
      <c r="F193" s="17"/>
    </row>
    <row r="194" spans="1:6" ht="13.5" customHeight="1" x14ac:dyDescent="0.35">
      <c r="A194" s="17"/>
      <c r="B194" s="17"/>
      <c r="C194" s="17"/>
      <c r="D194" s="17"/>
      <c r="E194" s="17"/>
      <c r="F194" s="17"/>
    </row>
    <row r="195" spans="1:6" ht="13.5" customHeight="1" x14ac:dyDescent="0.35">
      <c r="A195" s="17"/>
      <c r="B195" s="17"/>
      <c r="C195" s="17"/>
      <c r="D195" s="17"/>
      <c r="E195" s="17"/>
      <c r="F195" s="17"/>
    </row>
    <row r="196" spans="1:6" ht="13.5" customHeight="1" x14ac:dyDescent="0.35">
      <c r="A196" s="17"/>
      <c r="B196" s="17"/>
      <c r="C196" s="17"/>
      <c r="D196" s="17"/>
      <c r="E196" s="17"/>
      <c r="F196" s="17"/>
    </row>
    <row r="197" spans="1:6" ht="13.5" customHeight="1" x14ac:dyDescent="0.35">
      <c r="A197" s="17"/>
      <c r="B197" s="17"/>
      <c r="C197" s="17"/>
      <c r="D197" s="17"/>
      <c r="E197" s="17"/>
      <c r="F197" s="17"/>
    </row>
    <row r="198" spans="1:6" ht="13.5" customHeight="1" x14ac:dyDescent="0.35">
      <c r="A198" s="17"/>
      <c r="B198" s="17"/>
      <c r="C198" s="17"/>
      <c r="D198" s="17"/>
      <c r="E198" s="17"/>
      <c r="F198" s="17"/>
    </row>
    <row r="199" spans="1:6" ht="13.5" customHeight="1" x14ac:dyDescent="0.35">
      <c r="A199" s="17"/>
      <c r="B199" s="17"/>
      <c r="C199" s="17"/>
      <c r="D199" s="17"/>
      <c r="E199" s="17"/>
      <c r="F199" s="17"/>
    </row>
    <row r="200" spans="1:6" ht="13.5" customHeight="1" x14ac:dyDescent="0.35">
      <c r="A200" s="17"/>
      <c r="B200" s="17"/>
      <c r="C200" s="17"/>
      <c r="D200" s="17"/>
      <c r="E200" s="17"/>
      <c r="F200" s="17"/>
    </row>
    <row r="201" spans="1:6" ht="13.5" customHeight="1" x14ac:dyDescent="0.35">
      <c r="A201" s="17"/>
      <c r="B201" s="17"/>
      <c r="C201" s="17"/>
      <c r="D201" s="17"/>
      <c r="E201" s="17"/>
      <c r="F201" s="17"/>
    </row>
    <row r="202" spans="1:6" ht="13.5" customHeight="1" x14ac:dyDescent="0.35">
      <c r="A202" s="17"/>
      <c r="B202" s="17"/>
      <c r="C202" s="17"/>
      <c r="D202" s="17"/>
      <c r="E202" s="17"/>
      <c r="F202" s="17"/>
    </row>
    <row r="203" spans="1:6" ht="13.5" customHeight="1" x14ac:dyDescent="0.35">
      <c r="A203" s="17"/>
      <c r="B203" s="17"/>
      <c r="C203" s="17"/>
      <c r="D203" s="17"/>
      <c r="E203" s="17"/>
      <c r="F203" s="17"/>
    </row>
    <row r="204" spans="1:6" ht="13.5" customHeight="1" x14ac:dyDescent="0.35">
      <c r="A204" s="17"/>
      <c r="B204" s="17"/>
      <c r="C204" s="17"/>
      <c r="D204" s="17"/>
      <c r="E204" s="17"/>
      <c r="F204" s="17"/>
    </row>
    <row r="205" spans="1:6" ht="13.5" customHeight="1" x14ac:dyDescent="0.35">
      <c r="A205" s="17"/>
      <c r="B205" s="17"/>
      <c r="C205" s="17"/>
      <c r="D205" s="17"/>
      <c r="E205" s="17"/>
      <c r="F205" s="17"/>
    </row>
    <row r="206" spans="1:6" ht="13.5" customHeight="1" x14ac:dyDescent="0.35">
      <c r="A206" s="17"/>
      <c r="B206" s="17"/>
      <c r="C206" s="17"/>
      <c r="D206" s="17"/>
      <c r="E206" s="17"/>
      <c r="F206" s="17"/>
    </row>
    <row r="207" spans="1:6" ht="13.5" customHeight="1" x14ac:dyDescent="0.35">
      <c r="A207" s="17"/>
      <c r="B207" s="17"/>
      <c r="C207" s="17"/>
      <c r="D207" s="17"/>
      <c r="E207" s="17"/>
      <c r="F207" s="17"/>
    </row>
    <row r="208" spans="1:6" ht="13.5" customHeight="1" x14ac:dyDescent="0.35">
      <c r="A208" s="17"/>
      <c r="B208" s="17"/>
      <c r="C208" s="17"/>
      <c r="D208" s="17"/>
      <c r="E208" s="17"/>
      <c r="F208" s="17"/>
    </row>
    <row r="209" spans="1:6" ht="13.5" customHeight="1" x14ac:dyDescent="0.35">
      <c r="A209" s="17"/>
      <c r="B209" s="17"/>
      <c r="C209" s="17"/>
      <c r="D209" s="17"/>
      <c r="E209" s="17"/>
      <c r="F209" s="17"/>
    </row>
    <row r="210" spans="1:6" ht="13.5" customHeight="1" x14ac:dyDescent="0.35">
      <c r="A210" s="17"/>
      <c r="B210" s="17"/>
      <c r="C210" s="17"/>
      <c r="D210" s="17"/>
      <c r="E210" s="17"/>
      <c r="F210" s="17"/>
    </row>
    <row r="211" spans="1:6" ht="13.5" customHeight="1" x14ac:dyDescent="0.35">
      <c r="A211" s="17"/>
      <c r="B211" s="17"/>
      <c r="C211" s="17"/>
      <c r="D211" s="17"/>
      <c r="E211" s="17"/>
      <c r="F211" s="17"/>
    </row>
    <row r="212" spans="1:6" ht="13.5" customHeight="1" x14ac:dyDescent="0.35">
      <c r="A212" s="17"/>
      <c r="B212" s="17"/>
      <c r="C212" s="17"/>
      <c r="D212" s="17"/>
      <c r="E212" s="17"/>
      <c r="F212" s="17"/>
    </row>
    <row r="213" spans="1:6" ht="13.5" customHeight="1" x14ac:dyDescent="0.35">
      <c r="A213" s="17"/>
      <c r="B213" s="17"/>
      <c r="C213" s="17"/>
      <c r="D213" s="17"/>
      <c r="E213" s="17"/>
      <c r="F213" s="17"/>
    </row>
    <row r="214" spans="1:6" ht="13.5" customHeight="1" x14ac:dyDescent="0.35">
      <c r="A214" s="17"/>
      <c r="B214" s="17"/>
      <c r="C214" s="17"/>
      <c r="D214" s="17"/>
      <c r="E214" s="17"/>
      <c r="F214" s="17"/>
    </row>
    <row r="215" spans="1:6" ht="13.5" customHeight="1" x14ac:dyDescent="0.35">
      <c r="A215" s="17"/>
      <c r="B215" s="17"/>
      <c r="C215" s="17"/>
      <c r="D215" s="17"/>
      <c r="E215" s="17"/>
      <c r="F215" s="17"/>
    </row>
    <row r="216" spans="1:6" ht="13.5" customHeight="1" x14ac:dyDescent="0.35">
      <c r="A216" s="17"/>
      <c r="B216" s="17"/>
      <c r="C216" s="17"/>
      <c r="D216" s="17"/>
      <c r="E216" s="17"/>
      <c r="F216" s="17"/>
    </row>
    <row r="217" spans="1:6" ht="13.5" customHeight="1" x14ac:dyDescent="0.35">
      <c r="A217" s="17"/>
      <c r="B217" s="17"/>
      <c r="C217" s="17"/>
      <c r="D217" s="17"/>
      <c r="E217" s="17"/>
      <c r="F217" s="17"/>
    </row>
    <row r="218" spans="1:6" ht="13.5" customHeight="1" x14ac:dyDescent="0.35">
      <c r="A218" s="17"/>
      <c r="B218" s="17"/>
      <c r="C218" s="17"/>
      <c r="D218" s="17"/>
      <c r="E218" s="17"/>
      <c r="F218" s="17"/>
    </row>
    <row r="219" spans="1:6" ht="13.5" customHeight="1" x14ac:dyDescent="0.35">
      <c r="A219" s="17"/>
      <c r="B219" s="17"/>
      <c r="C219" s="17"/>
      <c r="D219" s="17"/>
      <c r="E219" s="17"/>
      <c r="F219" s="17"/>
    </row>
    <row r="220" spans="1:6" ht="13.5" customHeight="1" x14ac:dyDescent="0.35">
      <c r="A220" s="17"/>
      <c r="B220" s="17"/>
      <c r="C220" s="17"/>
      <c r="D220" s="17"/>
      <c r="E220" s="17"/>
      <c r="F220" s="17"/>
    </row>
    <row r="221" spans="1:6" ht="13.5" customHeight="1" x14ac:dyDescent="0.35">
      <c r="A221" s="17"/>
      <c r="B221" s="17"/>
      <c r="C221" s="17"/>
      <c r="D221" s="17"/>
      <c r="E221" s="17"/>
      <c r="F221" s="17"/>
    </row>
    <row r="222" spans="1:6" ht="13.5" customHeight="1" x14ac:dyDescent="0.35">
      <c r="A222" s="17"/>
      <c r="B222" s="17"/>
      <c r="C222" s="17"/>
      <c r="D222" s="17"/>
      <c r="E222" s="17"/>
      <c r="F222" s="17"/>
    </row>
    <row r="223" spans="1:6" ht="13.5" customHeight="1" x14ac:dyDescent="0.35">
      <c r="A223" s="17"/>
      <c r="B223" s="17"/>
      <c r="C223" s="17"/>
      <c r="D223" s="17"/>
      <c r="E223" s="17"/>
      <c r="F223" s="17"/>
    </row>
    <row r="224" spans="1:6" ht="13.5" customHeight="1" x14ac:dyDescent="0.35">
      <c r="A224" s="17"/>
      <c r="B224" s="17"/>
      <c r="C224" s="17"/>
      <c r="D224" s="17"/>
      <c r="E224" s="17"/>
      <c r="F224" s="17"/>
    </row>
    <row r="225" spans="1:6" ht="13.5" customHeight="1" x14ac:dyDescent="0.35">
      <c r="A225" s="17"/>
      <c r="B225" s="17"/>
      <c r="C225" s="17"/>
      <c r="D225" s="17"/>
      <c r="E225" s="17"/>
      <c r="F225" s="17"/>
    </row>
    <row r="226" spans="1:6" ht="13.5" customHeight="1" x14ac:dyDescent="0.35">
      <c r="A226" s="17"/>
      <c r="B226" s="17"/>
      <c r="C226" s="17"/>
      <c r="D226" s="17"/>
      <c r="E226" s="17"/>
      <c r="F226" s="17"/>
    </row>
    <row r="227" spans="1:6" ht="13.5" customHeight="1" x14ac:dyDescent="0.35">
      <c r="A227" s="17"/>
      <c r="B227" s="17"/>
      <c r="C227" s="17"/>
      <c r="D227" s="17"/>
      <c r="E227" s="17"/>
      <c r="F227" s="17"/>
    </row>
    <row r="228" spans="1:6" ht="13.5" customHeight="1" x14ac:dyDescent="0.35">
      <c r="A228" s="17"/>
      <c r="B228" s="17"/>
      <c r="C228" s="17"/>
      <c r="D228" s="17"/>
      <c r="E228" s="17"/>
      <c r="F228" s="17"/>
    </row>
    <row r="229" spans="1:6" ht="13.5" customHeight="1" x14ac:dyDescent="0.35">
      <c r="A229" s="17"/>
      <c r="B229" s="17"/>
      <c r="C229" s="17"/>
      <c r="D229" s="17"/>
      <c r="E229" s="17"/>
      <c r="F229" s="17"/>
    </row>
    <row r="230" spans="1:6" ht="13.5" customHeight="1" x14ac:dyDescent="0.35">
      <c r="A230" s="17"/>
      <c r="B230" s="17"/>
      <c r="C230" s="17"/>
      <c r="D230" s="17"/>
      <c r="E230" s="17"/>
      <c r="F230" s="17"/>
    </row>
    <row r="231" spans="1:6" ht="13.5" customHeight="1" x14ac:dyDescent="0.35">
      <c r="A231" s="17"/>
      <c r="B231" s="17"/>
      <c r="C231" s="17"/>
      <c r="D231" s="17"/>
      <c r="E231" s="17"/>
      <c r="F231" s="17"/>
    </row>
    <row r="232" spans="1:6" ht="13.5" customHeight="1" x14ac:dyDescent="0.35">
      <c r="A232" s="17"/>
      <c r="B232" s="17"/>
      <c r="C232" s="17"/>
      <c r="D232" s="17"/>
      <c r="E232" s="17"/>
      <c r="F232" s="17"/>
    </row>
    <row r="233" spans="1:6" ht="13.5" customHeight="1" x14ac:dyDescent="0.35">
      <c r="A233" s="17"/>
      <c r="B233" s="17"/>
      <c r="C233" s="17"/>
      <c r="D233" s="17"/>
      <c r="E233" s="17"/>
      <c r="F233" s="17"/>
    </row>
    <row r="234" spans="1:6" ht="13.5" customHeight="1" x14ac:dyDescent="0.35">
      <c r="A234" s="17"/>
      <c r="B234" s="17"/>
      <c r="C234" s="17"/>
      <c r="D234" s="17"/>
      <c r="E234" s="17"/>
      <c r="F234" s="17"/>
    </row>
    <row r="235" spans="1:6" ht="13.5" customHeight="1" x14ac:dyDescent="0.35">
      <c r="A235" s="17"/>
      <c r="B235" s="17"/>
      <c r="C235" s="17"/>
      <c r="D235" s="17"/>
      <c r="E235" s="17"/>
      <c r="F235" s="17"/>
    </row>
    <row r="236" spans="1:6" ht="13.5" customHeight="1" x14ac:dyDescent="0.35">
      <c r="A236" s="17"/>
      <c r="B236" s="17"/>
      <c r="C236" s="17"/>
      <c r="D236" s="17"/>
      <c r="E236" s="17"/>
      <c r="F236" s="17"/>
    </row>
    <row r="237" spans="1:6" ht="13.5" customHeight="1" x14ac:dyDescent="0.35">
      <c r="A237" s="17"/>
      <c r="B237" s="17"/>
      <c r="C237" s="17"/>
      <c r="D237" s="17"/>
      <c r="E237" s="17"/>
      <c r="F237" s="17"/>
    </row>
    <row r="238" spans="1:6" ht="13.5" customHeight="1" x14ac:dyDescent="0.35">
      <c r="A238" s="17"/>
      <c r="B238" s="17"/>
      <c r="C238" s="17"/>
      <c r="D238" s="17"/>
      <c r="E238" s="17"/>
      <c r="F238" s="17"/>
    </row>
    <row r="239" spans="1:6" ht="13.5" customHeight="1" x14ac:dyDescent="0.35">
      <c r="A239" s="17"/>
      <c r="B239" s="17"/>
      <c r="C239" s="17"/>
      <c r="D239" s="17"/>
      <c r="E239" s="17"/>
      <c r="F239" s="17"/>
    </row>
    <row r="240" spans="1:6" ht="13.5" customHeight="1" x14ac:dyDescent="0.35">
      <c r="A240" s="17"/>
      <c r="B240" s="17"/>
      <c r="C240" s="17"/>
      <c r="D240" s="17"/>
      <c r="E240" s="17"/>
      <c r="F240" s="17"/>
    </row>
    <row r="241" spans="1:6" ht="13.5" customHeight="1" x14ac:dyDescent="0.35">
      <c r="A241" s="17"/>
      <c r="B241" s="17"/>
      <c r="C241" s="17"/>
      <c r="D241" s="17"/>
      <c r="E241" s="17"/>
      <c r="F241" s="17"/>
    </row>
    <row r="242" spans="1:6" ht="13.5" customHeight="1" x14ac:dyDescent="0.35">
      <c r="A242" s="17"/>
      <c r="B242" s="17"/>
      <c r="C242" s="17"/>
      <c r="D242" s="17"/>
      <c r="E242" s="17"/>
      <c r="F242" s="17"/>
    </row>
    <row r="243" spans="1:6" ht="13.5" customHeight="1" x14ac:dyDescent="0.35">
      <c r="A243" s="17"/>
      <c r="B243" s="17"/>
      <c r="C243" s="17"/>
      <c r="D243" s="17"/>
      <c r="E243" s="17"/>
      <c r="F243" s="17"/>
    </row>
    <row r="244" spans="1:6" ht="13.5" customHeight="1" x14ac:dyDescent="0.35">
      <c r="A244" s="17"/>
      <c r="B244" s="17"/>
      <c r="C244" s="17"/>
      <c r="D244" s="17"/>
      <c r="E244" s="17"/>
      <c r="F244" s="17"/>
    </row>
    <row r="245" spans="1:6" ht="13.5" customHeight="1" x14ac:dyDescent="0.35">
      <c r="A245" s="17"/>
      <c r="B245" s="17"/>
      <c r="C245" s="17"/>
      <c r="D245" s="17"/>
      <c r="E245" s="17"/>
      <c r="F245" s="17"/>
    </row>
    <row r="246" spans="1:6" ht="13.5" customHeight="1" x14ac:dyDescent="0.35">
      <c r="A246" s="17"/>
      <c r="B246" s="17"/>
      <c r="C246" s="17"/>
      <c r="D246" s="17"/>
      <c r="E246" s="17"/>
      <c r="F246" s="17"/>
    </row>
    <row r="247" spans="1:6" ht="13.5" customHeight="1" x14ac:dyDescent="0.35">
      <c r="A247" s="17"/>
      <c r="B247" s="17"/>
      <c r="C247" s="17"/>
      <c r="D247" s="17"/>
      <c r="E247" s="17"/>
      <c r="F247" s="17"/>
    </row>
    <row r="248" spans="1:6" ht="13.5" customHeight="1" x14ac:dyDescent="0.35">
      <c r="A248" s="17"/>
      <c r="B248" s="17"/>
      <c r="C248" s="17"/>
      <c r="D248" s="17"/>
      <c r="E248" s="17"/>
      <c r="F248" s="17"/>
    </row>
    <row r="249" spans="1:6" ht="13.5" customHeight="1" x14ac:dyDescent="0.35">
      <c r="A249" s="17"/>
      <c r="B249" s="17"/>
      <c r="C249" s="17"/>
      <c r="D249" s="17"/>
      <c r="E249" s="17"/>
      <c r="F249" s="17"/>
    </row>
    <row r="250" spans="1:6" ht="13.5" customHeight="1" x14ac:dyDescent="0.35">
      <c r="A250" s="17"/>
      <c r="B250" s="17"/>
      <c r="C250" s="17"/>
      <c r="D250" s="17"/>
      <c r="E250" s="17"/>
      <c r="F250" s="17"/>
    </row>
    <row r="251" spans="1:6" ht="13.5" customHeight="1" x14ac:dyDescent="0.35">
      <c r="A251" s="17"/>
      <c r="B251" s="17"/>
      <c r="C251" s="17"/>
      <c r="D251" s="17"/>
      <c r="E251" s="17"/>
      <c r="F251" s="17"/>
    </row>
    <row r="252" spans="1:6" ht="13.5" customHeight="1" x14ac:dyDescent="0.35">
      <c r="A252" s="17"/>
      <c r="B252" s="17"/>
      <c r="C252" s="17"/>
      <c r="D252" s="17"/>
      <c r="E252" s="17"/>
      <c r="F252" s="17"/>
    </row>
    <row r="253" spans="1:6" ht="13.5" customHeight="1" x14ac:dyDescent="0.35">
      <c r="A253" s="17"/>
      <c r="B253" s="17"/>
      <c r="C253" s="17"/>
      <c r="D253" s="17"/>
      <c r="E253" s="17"/>
      <c r="F253" s="17"/>
    </row>
    <row r="254" spans="1:6" ht="13.5" customHeight="1" x14ac:dyDescent="0.35">
      <c r="A254" s="17"/>
      <c r="B254" s="17"/>
      <c r="C254" s="17"/>
      <c r="D254" s="17"/>
      <c r="E254" s="17"/>
      <c r="F254" s="17"/>
    </row>
    <row r="255" spans="1:6" ht="13.5" customHeight="1" x14ac:dyDescent="0.35">
      <c r="A255" s="17"/>
      <c r="B255" s="17"/>
      <c r="C255" s="17"/>
      <c r="D255" s="17"/>
      <c r="E255" s="17"/>
      <c r="F255" s="17"/>
    </row>
    <row r="256" spans="1:6" ht="13.5" customHeight="1" x14ac:dyDescent="0.35">
      <c r="A256" s="17"/>
      <c r="B256" s="17"/>
      <c r="C256" s="17"/>
      <c r="D256" s="17"/>
      <c r="E256" s="17"/>
      <c r="F256" s="17"/>
    </row>
    <row r="257" spans="1:6" ht="13.5" customHeight="1" x14ac:dyDescent="0.35">
      <c r="A257" s="17"/>
      <c r="B257" s="17"/>
      <c r="C257" s="17"/>
      <c r="D257" s="17"/>
      <c r="E257" s="17"/>
      <c r="F257" s="17"/>
    </row>
    <row r="258" spans="1:6" ht="13.5" customHeight="1" x14ac:dyDescent="0.35">
      <c r="A258" s="17"/>
      <c r="B258" s="17"/>
      <c r="C258" s="17"/>
      <c r="D258" s="17"/>
      <c r="E258" s="17"/>
      <c r="F258" s="17"/>
    </row>
    <row r="259" spans="1:6" ht="13.5" customHeight="1" x14ac:dyDescent="0.35">
      <c r="A259" s="17"/>
      <c r="B259" s="17"/>
      <c r="C259" s="17"/>
      <c r="D259" s="17"/>
      <c r="E259" s="17"/>
      <c r="F259" s="17"/>
    </row>
    <row r="260" spans="1:6" ht="13.5" customHeight="1" x14ac:dyDescent="0.35">
      <c r="A260" s="17"/>
      <c r="B260" s="17"/>
      <c r="C260" s="17"/>
      <c r="D260" s="17"/>
      <c r="E260" s="17"/>
      <c r="F260" s="17"/>
    </row>
    <row r="261" spans="1:6" ht="13.5" customHeight="1" x14ac:dyDescent="0.35">
      <c r="A261" s="17"/>
      <c r="B261" s="17"/>
      <c r="C261" s="17"/>
      <c r="D261" s="17"/>
      <c r="E261" s="17"/>
      <c r="F261" s="17"/>
    </row>
    <row r="262" spans="1:6" ht="13.5" customHeight="1" x14ac:dyDescent="0.35">
      <c r="A262" s="17"/>
      <c r="B262" s="17"/>
      <c r="C262" s="17"/>
      <c r="D262" s="17"/>
      <c r="E262" s="17"/>
      <c r="F262" s="17"/>
    </row>
    <row r="263" spans="1:6" ht="13.5" customHeight="1" x14ac:dyDescent="0.35">
      <c r="A263" s="17"/>
      <c r="B263" s="17"/>
      <c r="C263" s="17"/>
      <c r="D263" s="17"/>
      <c r="E263" s="17"/>
      <c r="F263" s="17"/>
    </row>
    <row r="264" spans="1:6" ht="13.5" customHeight="1" x14ac:dyDescent="0.35">
      <c r="A264" s="17"/>
      <c r="B264" s="17"/>
      <c r="C264" s="17"/>
      <c r="D264" s="17"/>
      <c r="E264" s="17"/>
      <c r="F264" s="17"/>
    </row>
    <row r="265" spans="1:6" ht="13.5" customHeight="1" x14ac:dyDescent="0.35">
      <c r="A265" s="17"/>
      <c r="B265" s="17"/>
      <c r="C265" s="17"/>
      <c r="D265" s="17"/>
      <c r="E265" s="17"/>
      <c r="F265" s="17"/>
    </row>
    <row r="266" spans="1:6" ht="13.5" customHeight="1" x14ac:dyDescent="0.35">
      <c r="A266" s="17"/>
      <c r="B266" s="17"/>
      <c r="C266" s="17"/>
      <c r="D266" s="17"/>
      <c r="E266" s="17"/>
      <c r="F266" s="17"/>
    </row>
    <row r="267" spans="1:6" ht="13.5" customHeight="1" x14ac:dyDescent="0.35">
      <c r="A267" s="17"/>
      <c r="B267" s="17"/>
      <c r="C267" s="17"/>
      <c r="D267" s="17"/>
      <c r="E267" s="17"/>
      <c r="F267" s="17"/>
    </row>
    <row r="268" spans="1:6" ht="13.5" customHeight="1" x14ac:dyDescent="0.35">
      <c r="A268" s="17"/>
      <c r="B268" s="17"/>
      <c r="C268" s="17"/>
      <c r="D268" s="17"/>
      <c r="E268" s="17"/>
      <c r="F268" s="17"/>
    </row>
    <row r="269" spans="1:6" ht="13.5" customHeight="1" x14ac:dyDescent="0.35">
      <c r="A269" s="17"/>
      <c r="B269" s="17"/>
      <c r="C269" s="17"/>
      <c r="D269" s="17"/>
      <c r="E269" s="17"/>
      <c r="F269" s="17"/>
    </row>
    <row r="270" spans="1:6" ht="13.5" customHeight="1" x14ac:dyDescent="0.35">
      <c r="A270" s="17"/>
      <c r="B270" s="17"/>
      <c r="C270" s="17"/>
      <c r="D270" s="17"/>
      <c r="E270" s="17"/>
      <c r="F270" s="17"/>
    </row>
    <row r="271" spans="1:6" ht="13.5" customHeight="1" x14ac:dyDescent="0.35">
      <c r="A271" s="17"/>
      <c r="B271" s="17"/>
      <c r="C271" s="17"/>
      <c r="D271" s="17"/>
      <c r="E271" s="17"/>
      <c r="F271" s="17"/>
    </row>
    <row r="272" spans="1:6" ht="13.5" customHeight="1" x14ac:dyDescent="0.35">
      <c r="A272" s="17"/>
      <c r="B272" s="17"/>
      <c r="C272" s="17"/>
      <c r="D272" s="17"/>
      <c r="E272" s="17"/>
      <c r="F272" s="17"/>
    </row>
    <row r="273" spans="1:6" ht="13.5" customHeight="1" x14ac:dyDescent="0.35">
      <c r="A273" s="17"/>
      <c r="B273" s="17"/>
      <c r="C273" s="17"/>
      <c r="D273" s="17"/>
      <c r="E273" s="17"/>
      <c r="F273" s="17"/>
    </row>
    <row r="274" spans="1:6" ht="13.5" customHeight="1" x14ac:dyDescent="0.35">
      <c r="A274" s="17"/>
      <c r="B274" s="17"/>
      <c r="C274" s="17"/>
      <c r="D274" s="17"/>
      <c r="E274" s="17"/>
      <c r="F274" s="17"/>
    </row>
    <row r="275" spans="1:6" ht="13.5" customHeight="1" x14ac:dyDescent="0.35">
      <c r="A275" s="17"/>
      <c r="B275" s="17"/>
      <c r="C275" s="17"/>
      <c r="D275" s="17"/>
      <c r="E275" s="17"/>
      <c r="F275" s="17"/>
    </row>
    <row r="276" spans="1:6" ht="13.5" customHeight="1" x14ac:dyDescent="0.35">
      <c r="A276" s="17"/>
      <c r="B276" s="17"/>
      <c r="C276" s="17"/>
      <c r="D276" s="17"/>
      <c r="E276" s="17"/>
      <c r="F276" s="17"/>
    </row>
    <row r="277" spans="1:6" ht="13.5" customHeight="1" x14ac:dyDescent="0.35">
      <c r="A277" s="17"/>
      <c r="B277" s="17"/>
      <c r="C277" s="17"/>
      <c r="D277" s="17"/>
      <c r="E277" s="17"/>
      <c r="F277" s="17"/>
    </row>
    <row r="278" spans="1:6" ht="13.5" customHeight="1" x14ac:dyDescent="0.35">
      <c r="A278" s="17"/>
      <c r="B278" s="17"/>
      <c r="C278" s="17"/>
      <c r="D278" s="17"/>
      <c r="E278" s="17"/>
      <c r="F278" s="17"/>
    </row>
    <row r="279" spans="1:6" ht="13.5" customHeight="1" x14ac:dyDescent="0.35">
      <c r="A279" s="17"/>
      <c r="B279" s="17"/>
      <c r="C279" s="17"/>
      <c r="D279" s="17"/>
      <c r="E279" s="17"/>
      <c r="F279" s="17"/>
    </row>
    <row r="280" spans="1:6" ht="13.5" customHeight="1" x14ac:dyDescent="0.35">
      <c r="A280" s="17"/>
      <c r="B280" s="17"/>
      <c r="C280" s="17"/>
      <c r="D280" s="17"/>
      <c r="E280" s="17"/>
      <c r="F280" s="17"/>
    </row>
    <row r="281" spans="1:6" ht="13.5" customHeight="1" x14ac:dyDescent="0.35">
      <c r="A281" s="17"/>
      <c r="B281" s="17"/>
      <c r="C281" s="17"/>
      <c r="D281" s="17"/>
      <c r="E281" s="17"/>
      <c r="F281" s="17"/>
    </row>
    <row r="282" spans="1:6" ht="13.5" customHeight="1" x14ac:dyDescent="0.35">
      <c r="A282" s="17"/>
      <c r="B282" s="17"/>
      <c r="C282" s="17"/>
      <c r="D282" s="17"/>
      <c r="E282" s="17"/>
      <c r="F282" s="17"/>
    </row>
    <row r="283" spans="1:6" ht="13.5" customHeight="1" x14ac:dyDescent="0.35">
      <c r="A283" s="17"/>
      <c r="B283" s="17"/>
      <c r="C283" s="17"/>
      <c r="D283" s="17"/>
      <c r="E283" s="17"/>
      <c r="F283" s="17"/>
    </row>
    <row r="284" spans="1:6" ht="13.5" customHeight="1" x14ac:dyDescent="0.35">
      <c r="A284" s="17"/>
      <c r="B284" s="17"/>
      <c r="C284" s="17"/>
      <c r="D284" s="17"/>
      <c r="E284" s="17"/>
      <c r="F284" s="17"/>
    </row>
    <row r="285" spans="1:6" ht="13.5" customHeight="1" x14ac:dyDescent="0.35">
      <c r="A285" s="17"/>
      <c r="B285" s="17"/>
      <c r="C285" s="17"/>
      <c r="D285" s="17"/>
      <c r="E285" s="17"/>
      <c r="F285" s="17"/>
    </row>
    <row r="286" spans="1:6" ht="13.5" customHeight="1" x14ac:dyDescent="0.35">
      <c r="A286" s="17"/>
      <c r="B286" s="17"/>
      <c r="C286" s="17"/>
      <c r="D286" s="17"/>
      <c r="E286" s="17"/>
      <c r="F286" s="17"/>
    </row>
    <row r="287" spans="1:6" ht="13.5" customHeight="1" x14ac:dyDescent="0.35">
      <c r="A287" s="17"/>
      <c r="B287" s="17"/>
      <c r="C287" s="17"/>
      <c r="D287" s="17"/>
      <c r="E287" s="17"/>
      <c r="F287" s="17"/>
    </row>
    <row r="288" spans="1:6" ht="13.5" customHeight="1" x14ac:dyDescent="0.35">
      <c r="A288" s="17"/>
      <c r="B288" s="17"/>
      <c r="C288" s="17"/>
      <c r="D288" s="17"/>
      <c r="E288" s="17"/>
      <c r="F288" s="17"/>
    </row>
    <row r="289" spans="1:6" ht="13.5" customHeight="1" x14ac:dyDescent="0.35">
      <c r="A289" s="17"/>
      <c r="B289" s="17"/>
      <c r="C289" s="17"/>
      <c r="D289" s="17"/>
      <c r="E289" s="17"/>
      <c r="F289" s="17"/>
    </row>
    <row r="290" spans="1:6" ht="13.5" customHeight="1" x14ac:dyDescent="0.35">
      <c r="A290" s="17"/>
      <c r="B290" s="17"/>
      <c r="C290" s="17"/>
      <c r="D290" s="17"/>
      <c r="E290" s="17"/>
      <c r="F290" s="17"/>
    </row>
    <row r="291" spans="1:6" ht="13.5" customHeight="1" x14ac:dyDescent="0.35">
      <c r="A291" s="17"/>
      <c r="B291" s="17"/>
      <c r="C291" s="17"/>
      <c r="D291" s="17"/>
      <c r="E291" s="17"/>
      <c r="F291" s="17"/>
    </row>
    <row r="292" spans="1:6" ht="13.5" customHeight="1" x14ac:dyDescent="0.35">
      <c r="A292" s="17"/>
      <c r="B292" s="17"/>
      <c r="C292" s="17"/>
      <c r="D292" s="17"/>
      <c r="E292" s="17"/>
      <c r="F292" s="17"/>
    </row>
    <row r="293" spans="1:6" ht="13.5" customHeight="1" x14ac:dyDescent="0.35">
      <c r="A293" s="17"/>
      <c r="B293" s="17"/>
      <c r="C293" s="17"/>
      <c r="D293" s="17"/>
      <c r="E293" s="17"/>
      <c r="F293" s="17"/>
    </row>
    <row r="294" spans="1:6" ht="13.5" customHeight="1" x14ac:dyDescent="0.35">
      <c r="A294" s="17"/>
      <c r="B294" s="17"/>
      <c r="C294" s="17"/>
      <c r="D294" s="17"/>
      <c r="E294" s="17"/>
      <c r="F294" s="17"/>
    </row>
    <row r="295" spans="1:6" ht="13.5" customHeight="1" x14ac:dyDescent="0.35">
      <c r="A295" s="17"/>
      <c r="B295" s="17"/>
      <c r="C295" s="17"/>
      <c r="D295" s="17"/>
      <c r="E295" s="17"/>
      <c r="F295" s="17"/>
    </row>
    <row r="296" spans="1:6" ht="13.5" customHeight="1" x14ac:dyDescent="0.35">
      <c r="A296" s="17"/>
      <c r="B296" s="17"/>
      <c r="C296" s="17"/>
      <c r="D296" s="17"/>
      <c r="E296" s="17"/>
      <c r="F296" s="17"/>
    </row>
    <row r="297" spans="1:6" ht="13.5" customHeight="1" x14ac:dyDescent="0.35">
      <c r="A297" s="17"/>
      <c r="B297" s="17"/>
      <c r="C297" s="17"/>
      <c r="D297" s="17"/>
      <c r="E297" s="17"/>
      <c r="F297" s="17"/>
    </row>
    <row r="298" spans="1:6" ht="13.5" customHeight="1" x14ac:dyDescent="0.35">
      <c r="A298" s="17"/>
      <c r="B298" s="17"/>
      <c r="C298" s="17"/>
      <c r="D298" s="17"/>
      <c r="E298" s="17"/>
      <c r="F298" s="17"/>
    </row>
    <row r="299" spans="1:6" ht="13.5" customHeight="1" x14ac:dyDescent="0.35">
      <c r="A299" s="17"/>
      <c r="B299" s="17"/>
      <c r="C299" s="17"/>
      <c r="D299" s="17"/>
      <c r="E299" s="17"/>
      <c r="F299" s="17"/>
    </row>
    <row r="300" spans="1:6" ht="13.5" customHeight="1" x14ac:dyDescent="0.35">
      <c r="A300" s="17"/>
      <c r="B300" s="17"/>
      <c r="C300" s="17"/>
      <c r="D300" s="17"/>
      <c r="E300" s="17"/>
      <c r="F300" s="17"/>
    </row>
    <row r="301" spans="1:6" ht="13.5" customHeight="1" x14ac:dyDescent="0.35">
      <c r="A301" s="17"/>
      <c r="B301" s="17"/>
      <c r="C301" s="17"/>
      <c r="D301" s="17"/>
      <c r="E301" s="17"/>
      <c r="F301" s="17"/>
    </row>
    <row r="302" spans="1:6" ht="13.5" customHeight="1" x14ac:dyDescent="0.35">
      <c r="A302" s="17"/>
      <c r="B302" s="17"/>
      <c r="C302" s="17"/>
      <c r="D302" s="17"/>
      <c r="E302" s="17"/>
      <c r="F302" s="17"/>
    </row>
    <row r="303" spans="1:6" ht="13.5" customHeight="1" x14ac:dyDescent="0.35">
      <c r="A303" s="17"/>
      <c r="B303" s="17"/>
      <c r="C303" s="17"/>
      <c r="D303" s="17"/>
      <c r="E303" s="17"/>
      <c r="F303" s="17"/>
    </row>
    <row r="304" spans="1:6" ht="13.5" customHeight="1" x14ac:dyDescent="0.35">
      <c r="A304" s="17"/>
      <c r="B304" s="17"/>
      <c r="C304" s="17"/>
      <c r="D304" s="17"/>
      <c r="E304" s="17"/>
      <c r="F304" s="17"/>
    </row>
    <row r="305" spans="1:6" ht="13.5" customHeight="1" x14ac:dyDescent="0.35">
      <c r="A305" s="17"/>
      <c r="B305" s="17"/>
      <c r="C305" s="17"/>
      <c r="D305" s="17"/>
      <c r="E305" s="17"/>
      <c r="F305" s="17"/>
    </row>
    <row r="306" spans="1:6" ht="13.5" customHeight="1" x14ac:dyDescent="0.35">
      <c r="A306" s="17"/>
      <c r="B306" s="17"/>
      <c r="C306" s="17"/>
      <c r="D306" s="17"/>
      <c r="E306" s="17"/>
      <c r="F306" s="17"/>
    </row>
    <row r="307" spans="1:6" ht="13.5" customHeight="1" x14ac:dyDescent="0.35">
      <c r="A307" s="17"/>
      <c r="B307" s="17"/>
      <c r="C307" s="17"/>
      <c r="D307" s="17"/>
      <c r="E307" s="17"/>
      <c r="F307" s="17"/>
    </row>
    <row r="308" spans="1:6" ht="13.5" customHeight="1" x14ac:dyDescent="0.35">
      <c r="A308" s="17"/>
      <c r="B308" s="17"/>
      <c r="C308" s="17"/>
      <c r="D308" s="17"/>
      <c r="E308" s="17"/>
      <c r="F308" s="17"/>
    </row>
    <row r="309" spans="1:6" ht="13.5" customHeight="1" x14ac:dyDescent="0.35">
      <c r="A309" s="17"/>
      <c r="B309" s="17"/>
      <c r="C309" s="17"/>
      <c r="D309" s="17"/>
      <c r="E309" s="17"/>
      <c r="F309" s="17"/>
    </row>
    <row r="310" spans="1:6" ht="13.5" customHeight="1" x14ac:dyDescent="0.35">
      <c r="A310" s="17"/>
      <c r="B310" s="17"/>
      <c r="C310" s="17"/>
      <c r="D310" s="17"/>
      <c r="E310" s="17"/>
      <c r="F310" s="17"/>
    </row>
    <row r="311" spans="1:6" ht="13.5" customHeight="1" x14ac:dyDescent="0.35">
      <c r="A311" s="17"/>
      <c r="B311" s="17"/>
      <c r="C311" s="17"/>
      <c r="D311" s="17"/>
      <c r="E311" s="17"/>
      <c r="F311" s="17"/>
    </row>
    <row r="312" spans="1:6" ht="13.5" customHeight="1" x14ac:dyDescent="0.35">
      <c r="A312" s="17"/>
      <c r="B312" s="17"/>
      <c r="C312" s="17"/>
      <c r="D312" s="17"/>
      <c r="E312" s="17"/>
      <c r="F312" s="17"/>
    </row>
    <row r="313" spans="1:6" ht="13.5" customHeight="1" x14ac:dyDescent="0.35">
      <c r="A313" s="17"/>
      <c r="B313" s="17"/>
      <c r="C313" s="17"/>
      <c r="D313" s="17"/>
      <c r="E313" s="17"/>
      <c r="F313" s="17"/>
    </row>
    <row r="314" spans="1:6" ht="13.5" customHeight="1" x14ac:dyDescent="0.35">
      <c r="A314" s="17"/>
      <c r="B314" s="17"/>
      <c r="C314" s="17"/>
      <c r="D314" s="17"/>
      <c r="E314" s="17"/>
      <c r="F314" s="17"/>
    </row>
    <row r="315" spans="1:6" ht="13.5" customHeight="1" x14ac:dyDescent="0.35">
      <c r="A315" s="17"/>
      <c r="B315" s="17"/>
      <c r="C315" s="17"/>
      <c r="D315" s="17"/>
      <c r="E315" s="17"/>
      <c r="F315" s="17"/>
    </row>
    <row r="316" spans="1:6" ht="13.5" customHeight="1" x14ac:dyDescent="0.35">
      <c r="A316" s="17"/>
      <c r="B316" s="17"/>
      <c r="C316" s="17"/>
      <c r="D316" s="17"/>
      <c r="E316" s="17"/>
      <c r="F316" s="17"/>
    </row>
    <row r="317" spans="1:6" ht="13.5" customHeight="1" x14ac:dyDescent="0.35">
      <c r="A317" s="17"/>
      <c r="B317" s="17"/>
      <c r="C317" s="17"/>
      <c r="D317" s="17"/>
      <c r="E317" s="17"/>
      <c r="F317" s="17"/>
    </row>
    <row r="318" spans="1:6" ht="13.5" customHeight="1" x14ac:dyDescent="0.35">
      <c r="A318" s="17"/>
      <c r="B318" s="17"/>
      <c r="C318" s="17"/>
      <c r="D318" s="17"/>
      <c r="E318" s="17"/>
      <c r="F318" s="17"/>
    </row>
    <row r="319" spans="1:6" ht="13.5" customHeight="1" x14ac:dyDescent="0.35">
      <c r="A319" s="17"/>
      <c r="B319" s="17"/>
      <c r="C319" s="17"/>
      <c r="D319" s="17"/>
      <c r="E319" s="17"/>
      <c r="F319" s="17"/>
    </row>
    <row r="320" spans="1:6" ht="13.5" customHeight="1" x14ac:dyDescent="0.35">
      <c r="A320" s="17"/>
      <c r="B320" s="17"/>
      <c r="C320" s="17"/>
      <c r="D320" s="17"/>
      <c r="E320" s="17"/>
      <c r="F320" s="17"/>
    </row>
    <row r="321" spans="1:6" ht="13.5" customHeight="1" x14ac:dyDescent="0.35">
      <c r="A321" s="17"/>
      <c r="B321" s="17"/>
      <c r="C321" s="17"/>
      <c r="D321" s="17"/>
      <c r="E321" s="17"/>
      <c r="F321" s="17"/>
    </row>
    <row r="322" spans="1:6" ht="13.5" customHeight="1" x14ac:dyDescent="0.35">
      <c r="A322" s="17"/>
      <c r="B322" s="17"/>
      <c r="C322" s="17"/>
      <c r="D322" s="17"/>
      <c r="E322" s="17"/>
      <c r="F322" s="17"/>
    </row>
    <row r="323" spans="1:6" ht="13.5" customHeight="1" x14ac:dyDescent="0.35">
      <c r="A323" s="17"/>
      <c r="B323" s="17"/>
      <c r="C323" s="17"/>
      <c r="D323" s="17"/>
      <c r="E323" s="17"/>
      <c r="F323" s="17"/>
    </row>
    <row r="324" spans="1:6" ht="13.5" customHeight="1" x14ac:dyDescent="0.35">
      <c r="A324" s="17"/>
      <c r="B324" s="17"/>
      <c r="C324" s="17"/>
      <c r="D324" s="17"/>
      <c r="E324" s="17"/>
      <c r="F324" s="17"/>
    </row>
    <row r="325" spans="1:6" ht="13.5" customHeight="1" x14ac:dyDescent="0.35">
      <c r="A325" s="17"/>
      <c r="B325" s="17"/>
      <c r="C325" s="17"/>
      <c r="D325" s="17"/>
      <c r="E325" s="17"/>
      <c r="F325" s="17"/>
    </row>
    <row r="326" spans="1:6" ht="13.5" customHeight="1" x14ac:dyDescent="0.35">
      <c r="A326" s="17"/>
      <c r="B326" s="17"/>
      <c r="C326" s="17"/>
      <c r="D326" s="17"/>
      <c r="E326" s="17"/>
      <c r="F326" s="17"/>
    </row>
    <row r="327" spans="1:6" ht="13.5" customHeight="1" x14ac:dyDescent="0.35">
      <c r="A327" s="17"/>
      <c r="B327" s="17"/>
      <c r="C327" s="17"/>
      <c r="D327" s="17"/>
      <c r="E327" s="17"/>
      <c r="F327" s="17"/>
    </row>
    <row r="328" spans="1:6" ht="13.5" customHeight="1" x14ac:dyDescent="0.35">
      <c r="A328" s="17"/>
      <c r="B328" s="17"/>
      <c r="C328" s="17"/>
      <c r="D328" s="17"/>
      <c r="E328" s="17"/>
      <c r="F328" s="17"/>
    </row>
    <row r="329" spans="1:6" ht="13.5" customHeight="1" x14ac:dyDescent="0.35">
      <c r="A329" s="17"/>
      <c r="B329" s="17"/>
      <c r="C329" s="17"/>
      <c r="D329" s="17"/>
      <c r="E329" s="17"/>
      <c r="F329" s="17"/>
    </row>
    <row r="330" spans="1:6" ht="13.5" customHeight="1" x14ac:dyDescent="0.35">
      <c r="A330" s="17"/>
      <c r="B330" s="17"/>
      <c r="C330" s="17"/>
      <c r="D330" s="17"/>
      <c r="E330" s="17"/>
      <c r="F330" s="17"/>
    </row>
    <row r="331" spans="1:6" ht="13.5" customHeight="1" x14ac:dyDescent="0.35">
      <c r="A331" s="17"/>
      <c r="B331" s="17"/>
      <c r="C331" s="17"/>
      <c r="D331" s="17"/>
      <c r="E331" s="17"/>
      <c r="F331" s="17"/>
    </row>
    <row r="332" spans="1:6" ht="13.5" customHeight="1" x14ac:dyDescent="0.35">
      <c r="A332" s="17"/>
      <c r="B332" s="17"/>
      <c r="C332" s="17"/>
      <c r="D332" s="17"/>
      <c r="E332" s="17"/>
      <c r="F332" s="17"/>
    </row>
    <row r="333" spans="1:6" ht="13.5" customHeight="1" x14ac:dyDescent="0.35">
      <c r="A333" s="17"/>
      <c r="B333" s="17"/>
      <c r="C333" s="17"/>
      <c r="D333" s="17"/>
      <c r="E333" s="17"/>
      <c r="F333" s="17"/>
    </row>
    <row r="334" spans="1:6" ht="13.5" customHeight="1" x14ac:dyDescent="0.35">
      <c r="A334" s="17"/>
      <c r="B334" s="17"/>
      <c r="C334" s="17"/>
      <c r="D334" s="17"/>
      <c r="E334" s="17"/>
      <c r="F334" s="17"/>
    </row>
    <row r="335" spans="1:6" ht="13.5" customHeight="1" x14ac:dyDescent="0.35">
      <c r="A335" s="17"/>
      <c r="B335" s="17"/>
      <c r="C335" s="17"/>
      <c r="D335" s="17"/>
      <c r="E335" s="17"/>
      <c r="F335" s="17"/>
    </row>
    <row r="336" spans="1:6" ht="13.5" customHeight="1" x14ac:dyDescent="0.35">
      <c r="A336" s="17"/>
      <c r="B336" s="17"/>
      <c r="C336" s="17"/>
      <c r="D336" s="17"/>
      <c r="E336" s="17"/>
      <c r="F336" s="17"/>
    </row>
    <row r="337" spans="1:6" ht="13.5" customHeight="1" x14ac:dyDescent="0.35">
      <c r="A337" s="17"/>
      <c r="B337" s="17"/>
      <c r="C337" s="17"/>
      <c r="D337" s="17"/>
      <c r="E337" s="17"/>
      <c r="F337" s="17"/>
    </row>
    <row r="338" spans="1:6" ht="13.5" customHeight="1" x14ac:dyDescent="0.35">
      <c r="A338" s="17"/>
      <c r="B338" s="17"/>
      <c r="C338" s="17"/>
      <c r="D338" s="17"/>
      <c r="E338" s="17"/>
      <c r="F338" s="17"/>
    </row>
    <row r="339" spans="1:6" ht="13.5" customHeight="1" x14ac:dyDescent="0.35">
      <c r="A339" s="17"/>
      <c r="B339" s="17"/>
      <c r="C339" s="17"/>
      <c r="D339" s="17"/>
      <c r="E339" s="17"/>
      <c r="F339" s="17"/>
    </row>
    <row r="340" spans="1:6" ht="13.5" customHeight="1" x14ac:dyDescent="0.35">
      <c r="A340" s="17"/>
      <c r="B340" s="17"/>
      <c r="C340" s="17"/>
      <c r="D340" s="17"/>
      <c r="E340" s="17"/>
      <c r="F340" s="17"/>
    </row>
    <row r="341" spans="1:6" ht="13.5" customHeight="1" x14ac:dyDescent="0.35">
      <c r="A341" s="17"/>
      <c r="B341" s="17"/>
      <c r="C341" s="17"/>
      <c r="D341" s="17"/>
      <c r="E341" s="17"/>
      <c r="F341" s="17"/>
    </row>
    <row r="342" spans="1:6" ht="13.5" customHeight="1" x14ac:dyDescent="0.35">
      <c r="A342" s="17"/>
      <c r="B342" s="17"/>
      <c r="C342" s="17"/>
      <c r="D342" s="17"/>
      <c r="E342" s="17"/>
      <c r="F342" s="17"/>
    </row>
    <row r="343" spans="1:6" ht="13.5" customHeight="1" x14ac:dyDescent="0.35">
      <c r="A343" s="17"/>
      <c r="B343" s="17"/>
      <c r="C343" s="17"/>
      <c r="D343" s="17"/>
      <c r="E343" s="17"/>
      <c r="F343" s="17"/>
    </row>
    <row r="344" spans="1:6" ht="13.5" customHeight="1" x14ac:dyDescent="0.35">
      <c r="A344" s="17"/>
      <c r="B344" s="17"/>
      <c r="C344" s="17"/>
      <c r="D344" s="17"/>
      <c r="E344" s="17"/>
      <c r="F344" s="17"/>
    </row>
    <row r="345" spans="1:6" ht="13.5" customHeight="1" x14ac:dyDescent="0.35">
      <c r="A345" s="17"/>
      <c r="B345" s="17"/>
      <c r="C345" s="17"/>
      <c r="D345" s="17"/>
      <c r="E345" s="17"/>
      <c r="F345" s="17"/>
    </row>
    <row r="346" spans="1:6" ht="13.5" customHeight="1" x14ac:dyDescent="0.35">
      <c r="A346" s="17"/>
      <c r="B346" s="17"/>
      <c r="C346" s="17"/>
      <c r="D346" s="17"/>
      <c r="E346" s="17"/>
      <c r="F346" s="17"/>
    </row>
    <row r="347" spans="1:6" ht="13.5" customHeight="1" x14ac:dyDescent="0.35">
      <c r="A347" s="17"/>
      <c r="B347" s="17"/>
      <c r="C347" s="17"/>
      <c r="D347" s="17"/>
      <c r="E347" s="17"/>
      <c r="F347" s="17"/>
    </row>
    <row r="348" spans="1:6" ht="13.5" customHeight="1" x14ac:dyDescent="0.35">
      <c r="A348" s="17"/>
      <c r="B348" s="17"/>
      <c r="C348" s="17"/>
      <c r="D348" s="17"/>
      <c r="E348" s="17"/>
      <c r="F348" s="17"/>
    </row>
    <row r="349" spans="1:6" ht="13.5" customHeight="1" x14ac:dyDescent="0.35">
      <c r="A349" s="17"/>
      <c r="B349" s="17"/>
      <c r="C349" s="17"/>
      <c r="D349" s="17"/>
      <c r="E349" s="17"/>
      <c r="F349" s="17"/>
    </row>
    <row r="350" spans="1:6" ht="13.5" customHeight="1" x14ac:dyDescent="0.35">
      <c r="A350" s="17"/>
      <c r="B350" s="17"/>
      <c r="C350" s="17"/>
      <c r="D350" s="17"/>
      <c r="E350" s="17"/>
      <c r="F350" s="17"/>
    </row>
    <row r="351" spans="1:6" ht="13.5" customHeight="1" x14ac:dyDescent="0.35">
      <c r="A351" s="17"/>
      <c r="B351" s="17"/>
      <c r="C351" s="17"/>
      <c r="D351" s="17"/>
      <c r="E351" s="17"/>
      <c r="F351" s="17"/>
    </row>
    <row r="352" spans="1:6" ht="13.5" customHeight="1" x14ac:dyDescent="0.35">
      <c r="A352" s="17"/>
      <c r="B352" s="17"/>
      <c r="C352" s="17"/>
      <c r="D352" s="17"/>
      <c r="E352" s="17"/>
      <c r="F352" s="17"/>
    </row>
    <row r="353" spans="1:6" ht="13.5" customHeight="1" x14ac:dyDescent="0.35">
      <c r="A353" s="17"/>
      <c r="B353" s="17"/>
      <c r="C353" s="17"/>
      <c r="D353" s="17"/>
      <c r="E353" s="17"/>
      <c r="F353" s="17"/>
    </row>
    <row r="354" spans="1:6" ht="13.5" customHeight="1" x14ac:dyDescent="0.35">
      <c r="A354" s="17"/>
      <c r="B354" s="17"/>
      <c r="C354" s="17"/>
      <c r="D354" s="17"/>
      <c r="E354" s="17"/>
      <c r="F354" s="17"/>
    </row>
    <row r="355" spans="1:6" ht="13.5" customHeight="1" x14ac:dyDescent="0.35">
      <c r="A355" s="17"/>
      <c r="B355" s="17"/>
      <c r="C355" s="17"/>
      <c r="D355" s="17"/>
      <c r="E355" s="17"/>
      <c r="F355" s="17"/>
    </row>
    <row r="356" spans="1:6" ht="13.5" customHeight="1" x14ac:dyDescent="0.35">
      <c r="A356" s="17"/>
      <c r="B356" s="17"/>
      <c r="C356" s="17"/>
      <c r="D356" s="17"/>
      <c r="E356" s="17"/>
      <c r="F356" s="17"/>
    </row>
    <row r="357" spans="1:6" ht="13.5" customHeight="1" x14ac:dyDescent="0.35">
      <c r="A357" s="17"/>
      <c r="B357" s="17"/>
      <c r="C357" s="17"/>
      <c r="D357" s="17"/>
      <c r="E357" s="17"/>
      <c r="F357" s="17"/>
    </row>
    <row r="358" spans="1:6" ht="13.5" customHeight="1" x14ac:dyDescent="0.35">
      <c r="A358" s="17"/>
      <c r="B358" s="17"/>
      <c r="C358" s="17"/>
      <c r="D358" s="17"/>
      <c r="E358" s="17"/>
      <c r="F358" s="17"/>
    </row>
    <row r="359" spans="1:6" ht="13.5" customHeight="1" x14ac:dyDescent="0.35">
      <c r="A359" s="17"/>
      <c r="B359" s="17"/>
      <c r="C359" s="17"/>
      <c r="D359" s="17"/>
      <c r="E359" s="17"/>
      <c r="F359" s="17"/>
    </row>
    <row r="360" spans="1:6" ht="13.5" customHeight="1" x14ac:dyDescent="0.35">
      <c r="A360" s="17"/>
      <c r="B360" s="17"/>
      <c r="C360" s="17"/>
      <c r="D360" s="17"/>
      <c r="E360" s="17"/>
      <c r="F360" s="17"/>
    </row>
    <row r="361" spans="1:6" ht="13.5" customHeight="1" x14ac:dyDescent="0.35">
      <c r="A361" s="17"/>
      <c r="B361" s="17"/>
      <c r="C361" s="17"/>
      <c r="D361" s="17"/>
      <c r="E361" s="17"/>
      <c r="F361" s="17"/>
    </row>
    <row r="362" spans="1:6" ht="13.5" customHeight="1" x14ac:dyDescent="0.35">
      <c r="A362" s="17"/>
      <c r="B362" s="17"/>
      <c r="C362" s="17"/>
      <c r="D362" s="17"/>
      <c r="E362" s="17"/>
      <c r="F362" s="17"/>
    </row>
    <row r="363" spans="1:6" ht="13.5" customHeight="1" x14ac:dyDescent="0.35">
      <c r="A363" s="17"/>
      <c r="B363" s="17"/>
      <c r="C363" s="17"/>
      <c r="D363" s="17"/>
      <c r="E363" s="17"/>
      <c r="F363" s="17"/>
    </row>
    <row r="364" spans="1:6" ht="13.5" customHeight="1" x14ac:dyDescent="0.35">
      <c r="A364" s="17"/>
      <c r="B364" s="17"/>
      <c r="C364" s="17"/>
      <c r="D364" s="17"/>
      <c r="E364" s="17"/>
      <c r="F364" s="17"/>
    </row>
    <row r="365" spans="1:6" ht="13.5" customHeight="1" x14ac:dyDescent="0.35">
      <c r="A365" s="17"/>
      <c r="B365" s="17"/>
      <c r="C365" s="17"/>
      <c r="D365" s="17"/>
      <c r="E365" s="17"/>
      <c r="F365" s="17"/>
    </row>
    <row r="366" spans="1:6" ht="13.5" customHeight="1" x14ac:dyDescent="0.35">
      <c r="A366" s="17"/>
      <c r="B366" s="17"/>
      <c r="C366" s="17"/>
      <c r="D366" s="17"/>
      <c r="E366" s="17"/>
      <c r="F366" s="17"/>
    </row>
    <row r="367" spans="1:6" ht="13.5" customHeight="1" x14ac:dyDescent="0.35">
      <c r="A367" s="17"/>
      <c r="B367" s="17"/>
      <c r="C367" s="17"/>
      <c r="D367" s="17"/>
      <c r="E367" s="17"/>
      <c r="F367" s="17"/>
    </row>
    <row r="368" spans="1:6" ht="13.5" customHeight="1" x14ac:dyDescent="0.35">
      <c r="A368" s="17"/>
      <c r="B368" s="17"/>
      <c r="C368" s="17"/>
      <c r="D368" s="17"/>
      <c r="E368" s="17"/>
      <c r="F368" s="17"/>
    </row>
    <row r="369" spans="1:6" ht="13.5" customHeight="1" x14ac:dyDescent="0.35">
      <c r="A369" s="17"/>
      <c r="B369" s="17"/>
      <c r="C369" s="17"/>
      <c r="D369" s="17"/>
      <c r="E369" s="17"/>
      <c r="F369" s="17"/>
    </row>
    <row r="370" spans="1:6" ht="13.5" customHeight="1" x14ac:dyDescent="0.35">
      <c r="A370" s="17"/>
      <c r="B370" s="17"/>
      <c r="C370" s="17"/>
      <c r="D370" s="17"/>
      <c r="E370" s="17"/>
      <c r="F370" s="17"/>
    </row>
    <row r="371" spans="1:6" ht="13.5" customHeight="1" x14ac:dyDescent="0.35">
      <c r="A371" s="17"/>
      <c r="B371" s="17"/>
      <c r="C371" s="17"/>
      <c r="D371" s="17"/>
      <c r="E371" s="17"/>
      <c r="F371" s="17"/>
    </row>
    <row r="372" spans="1:6" ht="13.5" customHeight="1" x14ac:dyDescent="0.35">
      <c r="A372" s="17"/>
      <c r="B372" s="17"/>
      <c r="C372" s="17"/>
      <c r="D372" s="17"/>
      <c r="E372" s="17"/>
      <c r="F372" s="17"/>
    </row>
    <row r="373" spans="1:6" ht="13.5" customHeight="1" x14ac:dyDescent="0.35">
      <c r="A373" s="17"/>
      <c r="B373" s="17"/>
      <c r="C373" s="17"/>
      <c r="D373" s="17"/>
      <c r="E373" s="17"/>
      <c r="F373" s="17"/>
    </row>
    <row r="374" spans="1:6" ht="13.5" customHeight="1" x14ac:dyDescent="0.35">
      <c r="A374" s="17"/>
      <c r="B374" s="17"/>
      <c r="C374" s="17"/>
      <c r="D374" s="17"/>
      <c r="E374" s="17"/>
      <c r="F374" s="17"/>
    </row>
    <row r="375" spans="1:6" ht="13.5" customHeight="1" x14ac:dyDescent="0.35">
      <c r="A375" s="17"/>
      <c r="B375" s="17"/>
      <c r="C375" s="17"/>
      <c r="D375" s="17"/>
      <c r="E375" s="17"/>
      <c r="F375" s="17"/>
    </row>
    <row r="376" spans="1:6" ht="13.5" customHeight="1" x14ac:dyDescent="0.35">
      <c r="A376" s="17"/>
      <c r="B376" s="17"/>
      <c r="C376" s="17"/>
      <c r="D376" s="17"/>
      <c r="E376" s="17"/>
      <c r="F376" s="17"/>
    </row>
    <row r="377" spans="1:6" ht="13.5" customHeight="1" x14ac:dyDescent="0.35">
      <c r="A377" s="17"/>
      <c r="B377" s="17"/>
      <c r="C377" s="17"/>
      <c r="D377" s="17"/>
      <c r="E377" s="17"/>
      <c r="F377" s="17"/>
    </row>
    <row r="378" spans="1:6" ht="13.5" customHeight="1" x14ac:dyDescent="0.35">
      <c r="A378" s="17"/>
      <c r="B378" s="17"/>
      <c r="C378" s="17"/>
      <c r="D378" s="17"/>
      <c r="E378" s="17"/>
      <c r="F378" s="17"/>
    </row>
    <row r="379" spans="1:6" ht="13.5" customHeight="1" x14ac:dyDescent="0.35">
      <c r="A379" s="17"/>
      <c r="B379" s="17"/>
      <c r="C379" s="17"/>
      <c r="D379" s="17"/>
      <c r="E379" s="17"/>
      <c r="F379" s="17"/>
    </row>
    <row r="380" spans="1:6" ht="13.5" customHeight="1" x14ac:dyDescent="0.35">
      <c r="A380" s="17"/>
      <c r="B380" s="17"/>
      <c r="C380" s="17"/>
      <c r="D380" s="17"/>
      <c r="E380" s="17"/>
      <c r="F380" s="17"/>
    </row>
    <row r="381" spans="1:6" ht="13.5" customHeight="1" x14ac:dyDescent="0.35">
      <c r="A381" s="17"/>
      <c r="B381" s="17"/>
      <c r="C381" s="17"/>
      <c r="D381" s="17"/>
      <c r="E381" s="17"/>
      <c r="F381" s="17"/>
    </row>
    <row r="382" spans="1:6" ht="13.5" customHeight="1" x14ac:dyDescent="0.35">
      <c r="A382" s="17"/>
      <c r="B382" s="17"/>
      <c r="C382" s="17"/>
      <c r="D382" s="17"/>
      <c r="E382" s="17"/>
      <c r="F382" s="17"/>
    </row>
    <row r="383" spans="1:6" ht="13.5" customHeight="1" x14ac:dyDescent="0.35">
      <c r="A383" s="17"/>
      <c r="B383" s="17"/>
      <c r="C383" s="17"/>
      <c r="D383" s="17"/>
      <c r="E383" s="17"/>
      <c r="F383" s="17"/>
    </row>
    <row r="384" spans="1:6" ht="13.5" customHeight="1" x14ac:dyDescent="0.35">
      <c r="A384" s="17"/>
      <c r="B384" s="17"/>
      <c r="C384" s="17"/>
      <c r="D384" s="17"/>
      <c r="E384" s="17"/>
      <c r="F384" s="17"/>
    </row>
    <row r="385" spans="1:6" ht="13.5" customHeight="1" x14ac:dyDescent="0.35">
      <c r="A385" s="17"/>
      <c r="B385" s="17"/>
      <c r="C385" s="17"/>
      <c r="D385" s="17"/>
      <c r="E385" s="17"/>
      <c r="F385" s="17"/>
    </row>
    <row r="386" spans="1:6" ht="13.5" customHeight="1" x14ac:dyDescent="0.35">
      <c r="A386" s="17"/>
      <c r="B386" s="17"/>
      <c r="C386" s="17"/>
      <c r="D386" s="17"/>
      <c r="E386" s="17"/>
      <c r="F386" s="17"/>
    </row>
    <row r="387" spans="1:6" ht="13.5" customHeight="1" x14ac:dyDescent="0.35">
      <c r="A387" s="17"/>
      <c r="B387" s="17"/>
      <c r="C387" s="17"/>
      <c r="D387" s="17"/>
      <c r="E387" s="17"/>
      <c r="F387" s="17"/>
    </row>
    <row r="388" spans="1:6" ht="13.5" customHeight="1" x14ac:dyDescent="0.35">
      <c r="A388" s="17"/>
      <c r="B388" s="17"/>
      <c r="C388" s="17"/>
      <c r="D388" s="17"/>
      <c r="E388" s="17"/>
      <c r="F388" s="17"/>
    </row>
    <row r="389" spans="1:6" ht="13.5" customHeight="1" x14ac:dyDescent="0.35">
      <c r="A389" s="17"/>
      <c r="B389" s="17"/>
      <c r="C389" s="17"/>
      <c r="D389" s="17"/>
      <c r="E389" s="17"/>
      <c r="F389" s="17"/>
    </row>
    <row r="390" spans="1:6" ht="13.5" customHeight="1" x14ac:dyDescent="0.35">
      <c r="A390" s="17"/>
      <c r="B390" s="17"/>
      <c r="C390" s="17"/>
      <c r="D390" s="17"/>
      <c r="E390" s="17"/>
      <c r="F390" s="17"/>
    </row>
    <row r="391" spans="1:6" ht="13.5" customHeight="1" x14ac:dyDescent="0.35">
      <c r="A391" s="17"/>
      <c r="B391" s="17"/>
      <c r="C391" s="17"/>
      <c r="D391" s="17"/>
      <c r="E391" s="17"/>
      <c r="F391" s="17"/>
    </row>
    <row r="392" spans="1:6" ht="13.5" customHeight="1" x14ac:dyDescent="0.35">
      <c r="A392" s="17"/>
      <c r="B392" s="17"/>
      <c r="C392" s="17"/>
      <c r="D392" s="17"/>
      <c r="E392" s="17"/>
      <c r="F392" s="17"/>
    </row>
    <row r="393" spans="1:6" ht="13.5" customHeight="1" x14ac:dyDescent="0.35">
      <c r="A393" s="17"/>
      <c r="B393" s="17"/>
      <c r="C393" s="17"/>
      <c r="D393" s="17"/>
      <c r="E393" s="17"/>
      <c r="F393" s="17"/>
    </row>
    <row r="394" spans="1:6" ht="13.5" customHeight="1" x14ac:dyDescent="0.35">
      <c r="A394" s="17"/>
      <c r="B394" s="17"/>
      <c r="C394" s="17"/>
      <c r="D394" s="17"/>
      <c r="E394" s="17"/>
      <c r="F394" s="17"/>
    </row>
    <row r="395" spans="1:6" ht="13.5" customHeight="1" x14ac:dyDescent="0.35">
      <c r="A395" s="17"/>
      <c r="B395" s="17"/>
      <c r="C395" s="17"/>
      <c r="D395" s="17"/>
      <c r="E395" s="17"/>
      <c r="F395" s="17"/>
    </row>
    <row r="396" spans="1:6" ht="13.5" customHeight="1" x14ac:dyDescent="0.35">
      <c r="A396" s="17"/>
      <c r="B396" s="17"/>
      <c r="C396" s="17"/>
      <c r="D396" s="17"/>
      <c r="E396" s="17"/>
      <c r="F396" s="17"/>
    </row>
    <row r="397" spans="1:6" ht="13.5" customHeight="1" x14ac:dyDescent="0.35">
      <c r="A397" s="17"/>
      <c r="B397" s="17"/>
      <c r="C397" s="17"/>
      <c r="D397" s="17"/>
      <c r="E397" s="17"/>
      <c r="F397" s="17"/>
    </row>
    <row r="398" spans="1:6" ht="13.5" customHeight="1" x14ac:dyDescent="0.35">
      <c r="A398" s="17"/>
      <c r="B398" s="17"/>
      <c r="C398" s="17"/>
      <c r="D398" s="17"/>
      <c r="E398" s="17"/>
      <c r="F398" s="17"/>
    </row>
    <row r="399" spans="1:6" ht="13.5" customHeight="1" x14ac:dyDescent="0.35">
      <c r="A399" s="17"/>
      <c r="B399" s="17"/>
      <c r="C399" s="17"/>
      <c r="D399" s="17"/>
      <c r="E399" s="17"/>
      <c r="F399" s="17"/>
    </row>
    <row r="400" spans="1:6" ht="13.5" customHeight="1" x14ac:dyDescent="0.35">
      <c r="A400" s="17"/>
      <c r="B400" s="17"/>
      <c r="C400" s="17"/>
      <c r="D400" s="17"/>
      <c r="E400" s="17"/>
      <c r="F400" s="17"/>
    </row>
    <row r="401" spans="1:6" ht="13.5" customHeight="1" x14ac:dyDescent="0.35">
      <c r="A401" s="17"/>
      <c r="B401" s="17"/>
      <c r="C401" s="17"/>
      <c r="D401" s="17"/>
      <c r="E401" s="17"/>
      <c r="F401" s="17"/>
    </row>
    <row r="402" spans="1:6" ht="13.5" customHeight="1" x14ac:dyDescent="0.35">
      <c r="A402" s="17"/>
      <c r="B402" s="17"/>
      <c r="C402" s="17"/>
      <c r="D402" s="17"/>
      <c r="E402" s="17"/>
      <c r="F402" s="17"/>
    </row>
    <row r="403" spans="1:6" ht="13.5" customHeight="1" x14ac:dyDescent="0.35">
      <c r="A403" s="17"/>
      <c r="B403" s="17"/>
      <c r="C403" s="17"/>
      <c r="D403" s="17"/>
      <c r="E403" s="17"/>
      <c r="F403" s="17"/>
    </row>
    <row r="404" spans="1:6" ht="13.5" customHeight="1" x14ac:dyDescent="0.35">
      <c r="A404" s="17"/>
      <c r="B404" s="17"/>
      <c r="C404" s="17"/>
      <c r="D404" s="17"/>
      <c r="E404" s="17"/>
      <c r="F404" s="17"/>
    </row>
    <row r="405" spans="1:6" ht="13.5" customHeight="1" x14ac:dyDescent="0.35">
      <c r="A405" s="17"/>
      <c r="B405" s="17"/>
      <c r="C405" s="17"/>
      <c r="D405" s="17"/>
      <c r="E405" s="17"/>
      <c r="F405" s="17"/>
    </row>
    <row r="406" spans="1:6" ht="13.5" customHeight="1" x14ac:dyDescent="0.35">
      <c r="A406" s="17"/>
      <c r="B406" s="17"/>
      <c r="C406" s="17"/>
      <c r="D406" s="17"/>
      <c r="E406" s="17"/>
      <c r="F406" s="17"/>
    </row>
    <row r="407" spans="1:6" ht="13.5" customHeight="1" x14ac:dyDescent="0.35">
      <c r="A407" s="17"/>
      <c r="B407" s="17"/>
      <c r="C407" s="17"/>
      <c r="D407" s="17"/>
      <c r="E407" s="17"/>
      <c r="F407" s="17"/>
    </row>
    <row r="408" spans="1:6" ht="13.5" customHeight="1" x14ac:dyDescent="0.35">
      <c r="A408" s="17"/>
      <c r="B408" s="17"/>
      <c r="C408" s="17"/>
      <c r="D408" s="17"/>
      <c r="E408" s="17"/>
      <c r="F408" s="17"/>
    </row>
    <row r="409" spans="1:6" ht="13.5" customHeight="1" x14ac:dyDescent="0.35">
      <c r="A409" s="17"/>
      <c r="B409" s="17"/>
      <c r="C409" s="17"/>
      <c r="D409" s="17"/>
      <c r="E409" s="17"/>
      <c r="F409" s="17"/>
    </row>
    <row r="410" spans="1:6" ht="13.5" customHeight="1" x14ac:dyDescent="0.35">
      <c r="A410" s="17"/>
      <c r="B410" s="17"/>
      <c r="C410" s="17"/>
      <c r="D410" s="17"/>
      <c r="E410" s="17"/>
      <c r="F410" s="17"/>
    </row>
    <row r="411" spans="1:6" ht="13.5" customHeight="1" x14ac:dyDescent="0.35">
      <c r="A411" s="17"/>
      <c r="B411" s="17"/>
      <c r="C411" s="17"/>
      <c r="D411" s="17"/>
      <c r="E411" s="17"/>
      <c r="F411" s="17"/>
    </row>
    <row r="412" spans="1:6" ht="13.5" customHeight="1" x14ac:dyDescent="0.35">
      <c r="A412" s="17"/>
      <c r="B412" s="17"/>
      <c r="C412" s="17"/>
      <c r="D412" s="17"/>
      <c r="E412" s="17"/>
      <c r="F412" s="17"/>
    </row>
    <row r="413" spans="1:6" ht="13.5" customHeight="1" x14ac:dyDescent="0.35">
      <c r="A413" s="17"/>
      <c r="B413" s="17"/>
      <c r="C413" s="17"/>
      <c r="D413" s="17"/>
      <c r="E413" s="17"/>
      <c r="F413" s="17"/>
    </row>
    <row r="414" spans="1:6" ht="13.5" customHeight="1" x14ac:dyDescent="0.35">
      <c r="A414" s="17"/>
      <c r="B414" s="17"/>
      <c r="C414" s="17"/>
      <c r="D414" s="17"/>
      <c r="E414" s="17"/>
      <c r="F414" s="17"/>
    </row>
    <row r="415" spans="1:6" ht="13.5" customHeight="1" x14ac:dyDescent="0.35">
      <c r="A415" s="17"/>
      <c r="B415" s="17"/>
      <c r="C415" s="17"/>
      <c r="D415" s="17"/>
      <c r="E415" s="17"/>
      <c r="F415" s="17"/>
    </row>
    <row r="416" spans="1:6" ht="13.5" customHeight="1" x14ac:dyDescent="0.35">
      <c r="A416" s="17"/>
      <c r="B416" s="17"/>
      <c r="C416" s="17"/>
      <c r="D416" s="17"/>
      <c r="E416" s="17"/>
      <c r="F416" s="17"/>
    </row>
    <row r="417" spans="1:6" ht="13.5" customHeight="1" x14ac:dyDescent="0.35">
      <c r="A417" s="17"/>
      <c r="B417" s="17"/>
      <c r="C417" s="17"/>
      <c r="D417" s="17"/>
      <c r="E417" s="17"/>
      <c r="F417" s="17"/>
    </row>
    <row r="418" spans="1:6" ht="13.5" customHeight="1" x14ac:dyDescent="0.35">
      <c r="A418" s="17"/>
      <c r="B418" s="17"/>
      <c r="C418" s="17"/>
      <c r="D418" s="17"/>
      <c r="E418" s="17"/>
      <c r="F418" s="17"/>
    </row>
    <row r="419" spans="1:6" ht="13.5" customHeight="1" x14ac:dyDescent="0.35">
      <c r="A419" s="17"/>
      <c r="B419" s="17"/>
      <c r="C419" s="17"/>
      <c r="D419" s="17"/>
      <c r="E419" s="17"/>
      <c r="F419" s="17"/>
    </row>
    <row r="420" spans="1:6" ht="13.5" customHeight="1" x14ac:dyDescent="0.35">
      <c r="A420" s="17"/>
      <c r="B420" s="17"/>
      <c r="C420" s="17"/>
      <c r="D420" s="17"/>
      <c r="E420" s="17"/>
      <c r="F420" s="17"/>
    </row>
    <row r="421" spans="1:6" ht="13.5" customHeight="1" x14ac:dyDescent="0.35">
      <c r="A421" s="17"/>
      <c r="B421" s="17"/>
      <c r="C421" s="17"/>
      <c r="D421" s="17"/>
      <c r="E421" s="17"/>
      <c r="F421" s="17"/>
    </row>
    <row r="422" spans="1:6" ht="13.5" customHeight="1" x14ac:dyDescent="0.35">
      <c r="A422" s="17"/>
      <c r="B422" s="17"/>
      <c r="C422" s="17"/>
      <c r="D422" s="17"/>
      <c r="E422" s="17"/>
      <c r="F422" s="17"/>
    </row>
    <row r="423" spans="1:6" ht="13.5" customHeight="1" x14ac:dyDescent="0.35">
      <c r="A423" s="17"/>
      <c r="B423" s="17"/>
      <c r="C423" s="17"/>
      <c r="D423" s="17"/>
      <c r="E423" s="17"/>
      <c r="F423" s="17"/>
    </row>
    <row r="424" spans="1:6" ht="13.5" customHeight="1" x14ac:dyDescent="0.35">
      <c r="A424" s="17"/>
      <c r="B424" s="17"/>
      <c r="C424" s="17"/>
      <c r="D424" s="17"/>
      <c r="E424" s="17"/>
      <c r="F424" s="17"/>
    </row>
    <row r="425" spans="1:6" ht="13.5" customHeight="1" x14ac:dyDescent="0.35">
      <c r="A425" s="17"/>
      <c r="B425" s="17"/>
      <c r="C425" s="17"/>
      <c r="D425" s="17"/>
      <c r="E425" s="17"/>
      <c r="F425" s="17"/>
    </row>
    <row r="426" spans="1:6" ht="13.5" customHeight="1" x14ac:dyDescent="0.35">
      <c r="A426" s="17"/>
      <c r="B426" s="17"/>
      <c r="C426" s="17"/>
      <c r="D426" s="17"/>
      <c r="E426" s="17"/>
      <c r="F426" s="17"/>
    </row>
    <row r="427" spans="1:6" ht="13.5" customHeight="1" x14ac:dyDescent="0.35">
      <c r="A427" s="17"/>
      <c r="B427" s="17"/>
      <c r="C427" s="17"/>
      <c r="D427" s="17"/>
      <c r="E427" s="17"/>
      <c r="F427" s="17"/>
    </row>
    <row r="428" spans="1:6" ht="13.5" customHeight="1" x14ac:dyDescent="0.35">
      <c r="A428" s="17"/>
      <c r="B428" s="17"/>
      <c r="C428" s="17"/>
      <c r="D428" s="17"/>
      <c r="E428" s="17"/>
      <c r="F428" s="17"/>
    </row>
    <row r="429" spans="1:6" ht="13.5" customHeight="1" x14ac:dyDescent="0.35">
      <c r="A429" s="17"/>
      <c r="B429" s="17"/>
      <c r="C429" s="17"/>
      <c r="D429" s="17"/>
      <c r="E429" s="17"/>
      <c r="F429" s="17"/>
    </row>
    <row r="430" spans="1:6" ht="13.5" customHeight="1" x14ac:dyDescent="0.35">
      <c r="A430" s="17"/>
      <c r="B430" s="17"/>
      <c r="C430" s="17"/>
      <c r="D430" s="17"/>
      <c r="E430" s="17"/>
      <c r="F430" s="17"/>
    </row>
    <row r="431" spans="1:6" ht="13.5" customHeight="1" x14ac:dyDescent="0.35">
      <c r="A431" s="17"/>
      <c r="B431" s="17"/>
      <c r="C431" s="17"/>
      <c r="D431" s="17"/>
      <c r="E431" s="17"/>
      <c r="F431" s="17"/>
    </row>
    <row r="432" spans="1:6" ht="13.5" customHeight="1" x14ac:dyDescent="0.35">
      <c r="A432" s="17"/>
      <c r="B432" s="17"/>
      <c r="C432" s="17"/>
      <c r="D432" s="17"/>
      <c r="E432" s="17"/>
      <c r="F432" s="17"/>
    </row>
    <row r="433" spans="1:6" ht="13.5" customHeight="1" x14ac:dyDescent="0.35">
      <c r="A433" s="17"/>
      <c r="B433" s="17"/>
      <c r="C433" s="17"/>
      <c r="D433" s="17"/>
      <c r="E433" s="17"/>
      <c r="F433" s="17"/>
    </row>
    <row r="434" spans="1:6" ht="13.5" customHeight="1" x14ac:dyDescent="0.35">
      <c r="A434" s="17"/>
      <c r="B434" s="17"/>
      <c r="C434" s="17"/>
      <c r="D434" s="17"/>
      <c r="E434" s="17"/>
      <c r="F434" s="17"/>
    </row>
    <row r="435" spans="1:6" ht="13.5" customHeight="1" x14ac:dyDescent="0.35">
      <c r="A435" s="17"/>
      <c r="B435" s="17"/>
      <c r="C435" s="17"/>
      <c r="D435" s="17"/>
      <c r="E435" s="17"/>
      <c r="F435" s="17"/>
    </row>
    <row r="436" spans="1:6" ht="13.5" customHeight="1" x14ac:dyDescent="0.35">
      <c r="A436" s="17"/>
      <c r="B436" s="17"/>
      <c r="C436" s="17"/>
      <c r="D436" s="17"/>
      <c r="E436" s="17"/>
      <c r="F436" s="17"/>
    </row>
    <row r="437" spans="1:6" ht="13.5" customHeight="1" x14ac:dyDescent="0.35">
      <c r="A437" s="17"/>
      <c r="B437" s="17"/>
      <c r="C437" s="17"/>
      <c r="D437" s="17"/>
      <c r="E437" s="17"/>
      <c r="F437" s="17"/>
    </row>
    <row r="438" spans="1:6" ht="13.5" customHeight="1" x14ac:dyDescent="0.35">
      <c r="A438" s="17"/>
      <c r="B438" s="17"/>
      <c r="C438" s="17"/>
      <c r="D438" s="17"/>
      <c r="E438" s="17"/>
      <c r="F438" s="17"/>
    </row>
    <row r="439" spans="1:6" ht="13.5" customHeight="1" x14ac:dyDescent="0.35">
      <c r="A439" s="17"/>
      <c r="B439" s="17"/>
      <c r="C439" s="17"/>
      <c r="D439" s="17"/>
      <c r="E439" s="17"/>
      <c r="F439" s="17"/>
    </row>
    <row r="440" spans="1:6" ht="13.5" customHeight="1" x14ac:dyDescent="0.35">
      <c r="A440" s="17"/>
      <c r="B440" s="17"/>
      <c r="C440" s="17"/>
      <c r="D440" s="17"/>
      <c r="E440" s="17"/>
      <c r="F440" s="17"/>
    </row>
    <row r="441" spans="1:6" ht="13.5" customHeight="1" x14ac:dyDescent="0.35">
      <c r="A441" s="17"/>
      <c r="B441" s="17"/>
      <c r="C441" s="17"/>
      <c r="D441" s="17"/>
      <c r="E441" s="17"/>
      <c r="F441" s="17"/>
    </row>
    <row r="442" spans="1:6" ht="13.5" customHeight="1" x14ac:dyDescent="0.35">
      <c r="A442" s="17"/>
      <c r="B442" s="17"/>
      <c r="C442" s="17"/>
      <c r="D442" s="17"/>
      <c r="E442" s="17"/>
      <c r="F442" s="17"/>
    </row>
    <row r="443" spans="1:6" ht="13.5" customHeight="1" x14ac:dyDescent="0.35">
      <c r="A443" s="17"/>
      <c r="B443" s="17"/>
      <c r="C443" s="17"/>
      <c r="D443" s="17"/>
      <c r="E443" s="17"/>
      <c r="F443" s="17"/>
    </row>
    <row r="444" spans="1:6" ht="13.5" customHeight="1" x14ac:dyDescent="0.35">
      <c r="A444" s="17"/>
      <c r="B444" s="17"/>
      <c r="C444" s="17"/>
      <c r="D444" s="17"/>
      <c r="E444" s="17"/>
      <c r="F444" s="17"/>
    </row>
    <row r="445" spans="1:6" ht="13.5" customHeight="1" x14ac:dyDescent="0.35">
      <c r="A445" s="17"/>
      <c r="B445" s="17"/>
      <c r="C445" s="17"/>
      <c r="D445" s="17"/>
      <c r="E445" s="17"/>
      <c r="F445" s="17"/>
    </row>
    <row r="446" spans="1:6" ht="13.5" customHeight="1" x14ac:dyDescent="0.35">
      <c r="A446" s="17"/>
      <c r="B446" s="17"/>
      <c r="C446" s="17"/>
      <c r="D446" s="17"/>
      <c r="E446" s="17"/>
      <c r="F446" s="17"/>
    </row>
    <row r="447" spans="1:6" ht="13.5" customHeight="1" x14ac:dyDescent="0.35">
      <c r="A447" s="17"/>
      <c r="B447" s="17"/>
      <c r="C447" s="17"/>
      <c r="D447" s="17"/>
      <c r="E447" s="17"/>
      <c r="F447" s="17"/>
    </row>
    <row r="448" spans="1:6" ht="13.5" customHeight="1" x14ac:dyDescent="0.35">
      <c r="A448" s="17"/>
      <c r="B448" s="17"/>
      <c r="C448" s="17"/>
      <c r="D448" s="17"/>
      <c r="E448" s="17"/>
      <c r="F448" s="17"/>
    </row>
    <row r="449" spans="1:6" ht="13.5" customHeight="1" x14ac:dyDescent="0.35">
      <c r="A449" s="17"/>
      <c r="B449" s="17"/>
      <c r="C449" s="17"/>
      <c r="D449" s="17"/>
      <c r="E449" s="17"/>
      <c r="F449" s="17"/>
    </row>
    <row r="450" spans="1:6" ht="13.5" customHeight="1" x14ac:dyDescent="0.35">
      <c r="A450" s="17"/>
      <c r="B450" s="17"/>
      <c r="C450" s="17"/>
      <c r="D450" s="17"/>
      <c r="E450" s="17"/>
      <c r="F450" s="17"/>
    </row>
    <row r="451" spans="1:6" ht="13.5" customHeight="1" x14ac:dyDescent="0.35">
      <c r="A451" s="17"/>
      <c r="B451" s="17"/>
      <c r="C451" s="17"/>
      <c r="D451" s="17"/>
      <c r="E451" s="17"/>
      <c r="F451" s="17"/>
    </row>
    <row r="452" spans="1:6" ht="13.5" customHeight="1" x14ac:dyDescent="0.35">
      <c r="A452" s="17"/>
      <c r="B452" s="17"/>
      <c r="C452" s="17"/>
      <c r="D452" s="17"/>
      <c r="E452" s="17"/>
      <c r="F452" s="17"/>
    </row>
    <row r="453" spans="1:6" ht="13.5" customHeight="1" x14ac:dyDescent="0.35">
      <c r="A453" s="17"/>
      <c r="B453" s="17"/>
      <c r="C453" s="17"/>
      <c r="D453" s="17"/>
      <c r="E453" s="17"/>
      <c r="F453" s="17"/>
    </row>
    <row r="454" spans="1:6" ht="13.5" customHeight="1" x14ac:dyDescent="0.35">
      <c r="A454" s="17"/>
      <c r="B454" s="17"/>
      <c r="C454" s="17"/>
      <c r="D454" s="17"/>
      <c r="E454" s="17"/>
      <c r="F454" s="17"/>
    </row>
    <row r="455" spans="1:6" ht="13.5" customHeight="1" x14ac:dyDescent="0.35">
      <c r="A455" s="17"/>
      <c r="B455" s="17"/>
      <c r="C455" s="17"/>
      <c r="D455" s="17"/>
      <c r="E455" s="17"/>
      <c r="F455" s="17"/>
    </row>
    <row r="456" spans="1:6" ht="13.5" customHeight="1" x14ac:dyDescent="0.35">
      <c r="A456" s="17"/>
      <c r="B456" s="17"/>
      <c r="C456" s="17"/>
      <c r="D456" s="17"/>
      <c r="E456" s="17"/>
      <c r="F456" s="17"/>
    </row>
    <row r="457" spans="1:6" ht="13.5" customHeight="1" x14ac:dyDescent="0.35">
      <c r="A457" s="17"/>
      <c r="B457" s="17"/>
      <c r="C457" s="17"/>
      <c r="D457" s="17"/>
      <c r="E457" s="17"/>
      <c r="F457" s="17"/>
    </row>
    <row r="458" spans="1:6" ht="13.5" customHeight="1" x14ac:dyDescent="0.35">
      <c r="A458" s="17"/>
      <c r="B458" s="17"/>
      <c r="C458" s="17"/>
      <c r="D458" s="17"/>
      <c r="E458" s="17"/>
      <c r="F458" s="17"/>
    </row>
    <row r="459" spans="1:6" ht="13.5" customHeight="1" x14ac:dyDescent="0.35">
      <c r="A459" s="17"/>
      <c r="B459" s="17"/>
      <c r="C459" s="17"/>
      <c r="D459" s="17"/>
      <c r="E459" s="17"/>
      <c r="F459" s="17"/>
    </row>
    <row r="460" spans="1:6" ht="13.5" customHeight="1" x14ac:dyDescent="0.35">
      <c r="A460" s="17"/>
      <c r="B460" s="17"/>
      <c r="C460" s="17"/>
      <c r="D460" s="17"/>
      <c r="E460" s="17"/>
      <c r="F460" s="17"/>
    </row>
    <row r="461" spans="1:6" ht="13.5" customHeight="1" x14ac:dyDescent="0.35">
      <c r="A461" s="17"/>
      <c r="B461" s="17"/>
      <c r="C461" s="17"/>
      <c r="D461" s="17"/>
      <c r="E461" s="17"/>
      <c r="F461" s="17"/>
    </row>
    <row r="462" spans="1:6" ht="13.5" customHeight="1" x14ac:dyDescent="0.35">
      <c r="A462" s="17"/>
      <c r="B462" s="17"/>
      <c r="C462" s="17"/>
      <c r="D462" s="17"/>
      <c r="E462" s="17"/>
      <c r="F462" s="17"/>
    </row>
    <row r="463" spans="1:6" ht="13.5" customHeight="1" x14ac:dyDescent="0.35">
      <c r="A463" s="17"/>
      <c r="B463" s="17"/>
      <c r="C463" s="17"/>
      <c r="D463" s="17"/>
      <c r="E463" s="17"/>
      <c r="F463" s="17"/>
    </row>
    <row r="464" spans="1:6" ht="13.5" customHeight="1" x14ac:dyDescent="0.35">
      <c r="A464" s="17"/>
      <c r="B464" s="17"/>
      <c r="C464" s="17"/>
      <c r="D464" s="17"/>
      <c r="E464" s="17"/>
      <c r="F464" s="17"/>
    </row>
    <row r="465" spans="1:6" ht="13.5" customHeight="1" x14ac:dyDescent="0.35">
      <c r="A465" s="17"/>
      <c r="B465" s="17"/>
      <c r="C465" s="17"/>
      <c r="D465" s="17"/>
      <c r="E465" s="17"/>
      <c r="F465" s="17"/>
    </row>
    <row r="466" spans="1:6" ht="13.5" customHeight="1" x14ac:dyDescent="0.35">
      <c r="A466" s="17"/>
      <c r="B466" s="17"/>
      <c r="C466" s="17"/>
      <c r="D466" s="17"/>
      <c r="E466" s="17"/>
      <c r="F466" s="17"/>
    </row>
    <row r="467" spans="1:6" ht="13.5" customHeight="1" x14ac:dyDescent="0.35">
      <c r="A467" s="17"/>
      <c r="B467" s="17"/>
      <c r="C467" s="17"/>
      <c r="D467" s="17"/>
      <c r="E467" s="17"/>
      <c r="F467" s="17"/>
    </row>
    <row r="468" spans="1:6" ht="13.5" customHeight="1" x14ac:dyDescent="0.35">
      <c r="A468" s="17"/>
      <c r="B468" s="17"/>
      <c r="C468" s="17"/>
      <c r="D468" s="17"/>
      <c r="E468" s="17"/>
      <c r="F468" s="17"/>
    </row>
    <row r="469" spans="1:6" ht="13.5" customHeight="1" x14ac:dyDescent="0.35">
      <c r="A469" s="17"/>
      <c r="B469" s="17"/>
      <c r="C469" s="17"/>
      <c r="D469" s="17"/>
      <c r="E469" s="17"/>
      <c r="F469" s="17"/>
    </row>
    <row r="470" spans="1:6" ht="13.5" customHeight="1" x14ac:dyDescent="0.35">
      <c r="A470" s="17"/>
      <c r="B470" s="17"/>
      <c r="C470" s="17"/>
      <c r="D470" s="17"/>
      <c r="E470" s="17"/>
      <c r="F470" s="17"/>
    </row>
    <row r="471" spans="1:6" ht="13.5" customHeight="1" x14ac:dyDescent="0.35">
      <c r="A471" s="17"/>
      <c r="B471" s="17"/>
      <c r="C471" s="17"/>
      <c r="D471" s="17"/>
      <c r="E471" s="17"/>
      <c r="F471" s="17"/>
    </row>
    <row r="472" spans="1:6" ht="13.5" customHeight="1" x14ac:dyDescent="0.35">
      <c r="A472" s="17"/>
      <c r="B472" s="17"/>
      <c r="C472" s="17"/>
      <c r="D472" s="17"/>
      <c r="E472" s="17"/>
      <c r="F472" s="17"/>
    </row>
    <row r="473" spans="1:6" ht="13.5" customHeight="1" x14ac:dyDescent="0.35">
      <c r="A473" s="17"/>
      <c r="B473" s="17"/>
      <c r="C473" s="17"/>
      <c r="D473" s="17"/>
      <c r="E473" s="17"/>
      <c r="F473" s="17"/>
    </row>
    <row r="474" spans="1:6" ht="13.5" customHeight="1" x14ac:dyDescent="0.35">
      <c r="A474" s="17"/>
      <c r="B474" s="17"/>
      <c r="C474" s="17"/>
      <c r="D474" s="17"/>
      <c r="E474" s="17"/>
      <c r="F474" s="17"/>
    </row>
    <row r="475" spans="1:6" ht="13.5" customHeight="1" x14ac:dyDescent="0.35">
      <c r="A475" s="17"/>
      <c r="B475" s="17"/>
      <c r="C475" s="17"/>
      <c r="D475" s="17"/>
      <c r="E475" s="17"/>
      <c r="F475" s="17"/>
    </row>
    <row r="476" spans="1:6" ht="13.5" customHeight="1" x14ac:dyDescent="0.35">
      <c r="A476" s="17"/>
      <c r="B476" s="17"/>
      <c r="C476" s="17"/>
      <c r="D476" s="17"/>
      <c r="E476" s="17"/>
      <c r="F476" s="17"/>
    </row>
    <row r="477" spans="1:6" ht="13.5" customHeight="1" x14ac:dyDescent="0.35">
      <c r="A477" s="17"/>
      <c r="B477" s="17"/>
      <c r="C477" s="17"/>
      <c r="D477" s="17"/>
      <c r="E477" s="17"/>
      <c r="F477" s="17"/>
    </row>
    <row r="478" spans="1:6" ht="13.5" customHeight="1" x14ac:dyDescent="0.35">
      <c r="A478" s="17"/>
      <c r="B478" s="17"/>
      <c r="C478" s="17"/>
      <c r="D478" s="17"/>
      <c r="E478" s="17"/>
      <c r="F478" s="17"/>
    </row>
    <row r="479" spans="1:6" ht="13.5" customHeight="1" x14ac:dyDescent="0.35">
      <c r="A479" s="17"/>
      <c r="B479" s="17"/>
      <c r="C479" s="17"/>
      <c r="D479" s="17"/>
      <c r="E479" s="17"/>
      <c r="F479" s="17"/>
    </row>
    <row r="480" spans="1:6" ht="13.5" customHeight="1" x14ac:dyDescent="0.35">
      <c r="A480" s="17"/>
      <c r="B480" s="17"/>
      <c r="C480" s="17"/>
      <c r="D480" s="17"/>
      <c r="E480" s="17"/>
      <c r="F480" s="17"/>
    </row>
    <row r="481" spans="1:6" ht="13.5" customHeight="1" x14ac:dyDescent="0.35">
      <c r="A481" s="17"/>
      <c r="B481" s="17"/>
      <c r="C481" s="17"/>
      <c r="D481" s="17"/>
      <c r="E481" s="17"/>
      <c r="F481" s="17"/>
    </row>
    <row r="482" spans="1:6" ht="13.5" customHeight="1" x14ac:dyDescent="0.35">
      <c r="A482" s="17"/>
      <c r="B482" s="17"/>
      <c r="C482" s="17"/>
      <c r="D482" s="17"/>
      <c r="E482" s="17"/>
      <c r="F482" s="17"/>
    </row>
    <row r="483" spans="1:6" ht="13.5" customHeight="1" x14ac:dyDescent="0.35">
      <c r="A483" s="17"/>
      <c r="B483" s="17"/>
      <c r="C483" s="17"/>
      <c r="D483" s="17"/>
      <c r="E483" s="17"/>
      <c r="F483" s="17"/>
    </row>
    <row r="484" spans="1:6" ht="13.5" customHeight="1" x14ac:dyDescent="0.35">
      <c r="A484" s="17"/>
      <c r="B484" s="17"/>
      <c r="C484" s="17"/>
      <c r="D484" s="17"/>
      <c r="E484" s="17"/>
      <c r="F484" s="17"/>
    </row>
    <row r="485" spans="1:6" ht="13.5" customHeight="1" x14ac:dyDescent="0.35">
      <c r="A485" s="17"/>
      <c r="B485" s="17"/>
      <c r="C485" s="17"/>
      <c r="D485" s="17"/>
      <c r="E485" s="17"/>
      <c r="F485" s="17"/>
    </row>
    <row r="486" spans="1:6" ht="13.5" customHeight="1" x14ac:dyDescent="0.35">
      <c r="A486" s="17"/>
      <c r="B486" s="17"/>
      <c r="C486" s="17"/>
      <c r="D486" s="17"/>
      <c r="E486" s="17"/>
      <c r="F486" s="17"/>
    </row>
    <row r="487" spans="1:6" ht="13.5" customHeight="1" x14ac:dyDescent="0.35">
      <c r="A487" s="17"/>
      <c r="B487" s="17"/>
      <c r="C487" s="17"/>
      <c r="D487" s="17"/>
      <c r="E487" s="17"/>
      <c r="F487" s="17"/>
    </row>
    <row r="488" spans="1:6" ht="13.5" customHeight="1" x14ac:dyDescent="0.35">
      <c r="A488" s="17"/>
      <c r="B488" s="17"/>
      <c r="C488" s="17"/>
      <c r="D488" s="17"/>
      <c r="E488" s="17"/>
      <c r="F488" s="17"/>
    </row>
    <row r="489" spans="1:6" ht="13.5" customHeight="1" x14ac:dyDescent="0.35">
      <c r="A489" s="17"/>
      <c r="B489" s="17"/>
      <c r="C489" s="17"/>
      <c r="D489" s="17"/>
      <c r="E489" s="17"/>
      <c r="F489" s="17"/>
    </row>
    <row r="490" spans="1:6" ht="13.5" customHeight="1" x14ac:dyDescent="0.35">
      <c r="A490" s="17"/>
      <c r="B490" s="17"/>
      <c r="C490" s="17"/>
      <c r="D490" s="17"/>
      <c r="E490" s="17"/>
      <c r="F490" s="17"/>
    </row>
    <row r="491" spans="1:6" ht="13.5" customHeight="1" x14ac:dyDescent="0.35">
      <c r="A491" s="17"/>
      <c r="B491" s="17"/>
      <c r="C491" s="17"/>
      <c r="D491" s="17"/>
      <c r="E491" s="17"/>
      <c r="F491" s="17"/>
    </row>
    <row r="492" spans="1:6" ht="13.5" customHeight="1" x14ac:dyDescent="0.35">
      <c r="A492" s="17"/>
      <c r="B492" s="17"/>
      <c r="C492" s="17"/>
      <c r="D492" s="17"/>
      <c r="E492" s="17"/>
      <c r="F492" s="17"/>
    </row>
    <row r="493" spans="1:6" ht="13.5" customHeight="1" x14ac:dyDescent="0.35">
      <c r="A493" s="17"/>
      <c r="B493" s="17"/>
      <c r="C493" s="17"/>
      <c r="D493" s="17"/>
      <c r="E493" s="17"/>
      <c r="F493" s="17"/>
    </row>
    <row r="494" spans="1:6" ht="13.5" customHeight="1" x14ac:dyDescent="0.35">
      <c r="A494" s="17"/>
      <c r="B494" s="17"/>
      <c r="C494" s="17"/>
      <c r="D494" s="17"/>
      <c r="E494" s="17"/>
      <c r="F494" s="17"/>
    </row>
    <row r="495" spans="1:6" ht="13.5" customHeight="1" x14ac:dyDescent="0.35">
      <c r="A495" s="17"/>
      <c r="B495" s="17"/>
      <c r="C495" s="17"/>
      <c r="D495" s="17"/>
      <c r="E495" s="17"/>
      <c r="F495" s="17"/>
    </row>
    <row r="496" spans="1:6" ht="13.5" customHeight="1" x14ac:dyDescent="0.35">
      <c r="A496" s="17"/>
      <c r="B496" s="17"/>
      <c r="C496" s="17"/>
      <c r="D496" s="17"/>
      <c r="E496" s="17"/>
      <c r="F496" s="17"/>
    </row>
    <row r="497" spans="1:6" ht="13.5" customHeight="1" x14ac:dyDescent="0.35">
      <c r="A497" s="17"/>
      <c r="B497" s="17"/>
      <c r="C497" s="17"/>
      <c r="D497" s="17"/>
      <c r="E497" s="17"/>
      <c r="F497" s="17"/>
    </row>
    <row r="498" spans="1:6" ht="13.5" customHeight="1" x14ac:dyDescent="0.35">
      <c r="A498" s="17"/>
      <c r="B498" s="17"/>
      <c r="C498" s="17"/>
      <c r="D498" s="17"/>
      <c r="E498" s="17"/>
      <c r="F498" s="17"/>
    </row>
    <row r="499" spans="1:6" ht="13.5" customHeight="1" x14ac:dyDescent="0.35">
      <c r="A499" s="17"/>
      <c r="B499" s="17"/>
      <c r="C499" s="17"/>
      <c r="D499" s="17"/>
      <c r="E499" s="17"/>
      <c r="F499" s="17"/>
    </row>
    <row r="500" spans="1:6" ht="13.5" customHeight="1" x14ac:dyDescent="0.35">
      <c r="A500" s="17"/>
      <c r="B500" s="17"/>
      <c r="C500" s="17"/>
      <c r="D500" s="17"/>
      <c r="E500" s="17"/>
      <c r="F500" s="17"/>
    </row>
    <row r="501" spans="1:6" ht="13.5" customHeight="1" x14ac:dyDescent="0.35">
      <c r="A501" s="17"/>
      <c r="B501" s="17"/>
      <c r="C501" s="17"/>
      <c r="D501" s="17"/>
      <c r="E501" s="17"/>
      <c r="F501" s="17"/>
    </row>
    <row r="502" spans="1:6" ht="13.5" customHeight="1" x14ac:dyDescent="0.35">
      <c r="A502" s="17"/>
      <c r="B502" s="17"/>
      <c r="C502" s="17"/>
      <c r="D502" s="17"/>
      <c r="E502" s="17"/>
      <c r="F502" s="17"/>
    </row>
    <row r="503" spans="1:6" ht="13.5" customHeight="1" x14ac:dyDescent="0.35">
      <c r="A503" s="17"/>
      <c r="B503" s="17"/>
      <c r="C503" s="17"/>
      <c r="D503" s="17"/>
      <c r="E503" s="17"/>
      <c r="F503" s="17"/>
    </row>
    <row r="504" spans="1:6" ht="13.5" customHeight="1" x14ac:dyDescent="0.35">
      <c r="A504" s="17"/>
      <c r="B504" s="17"/>
      <c r="C504" s="17"/>
      <c r="D504" s="17"/>
      <c r="E504" s="17"/>
      <c r="F504" s="17"/>
    </row>
    <row r="505" spans="1:6" ht="13.5" customHeight="1" x14ac:dyDescent="0.35">
      <c r="A505" s="17"/>
      <c r="B505" s="17"/>
      <c r="C505" s="17"/>
      <c r="D505" s="17"/>
      <c r="E505" s="17"/>
      <c r="F505" s="17"/>
    </row>
    <row r="506" spans="1:6" ht="13.5" customHeight="1" x14ac:dyDescent="0.35">
      <c r="A506" s="17"/>
      <c r="B506" s="17"/>
      <c r="C506" s="17"/>
      <c r="D506" s="17"/>
      <c r="E506" s="17"/>
      <c r="F506" s="17"/>
    </row>
    <row r="507" spans="1:6" ht="13.5" customHeight="1" x14ac:dyDescent="0.35">
      <c r="A507" s="17"/>
      <c r="B507" s="17"/>
      <c r="C507" s="17"/>
      <c r="D507" s="17"/>
      <c r="E507" s="17"/>
      <c r="F507" s="17"/>
    </row>
    <row r="508" spans="1:6" ht="13.5" customHeight="1" x14ac:dyDescent="0.35">
      <c r="A508" s="17"/>
      <c r="B508" s="17"/>
      <c r="C508" s="17"/>
      <c r="D508" s="17"/>
      <c r="E508" s="17"/>
      <c r="F508" s="17"/>
    </row>
    <row r="509" spans="1:6" ht="13.5" customHeight="1" x14ac:dyDescent="0.35">
      <c r="A509" s="17"/>
      <c r="B509" s="17"/>
      <c r="C509" s="17"/>
      <c r="D509" s="17"/>
      <c r="E509" s="17"/>
      <c r="F509" s="17"/>
    </row>
    <row r="510" spans="1:6" ht="13.5" customHeight="1" x14ac:dyDescent="0.35">
      <c r="A510" s="17"/>
      <c r="B510" s="17"/>
      <c r="C510" s="17"/>
      <c r="D510" s="17"/>
      <c r="E510" s="17"/>
      <c r="F510" s="17"/>
    </row>
    <row r="511" spans="1:6" ht="13.5" customHeight="1" x14ac:dyDescent="0.35">
      <c r="A511" s="17"/>
      <c r="B511" s="17"/>
      <c r="C511" s="17"/>
      <c r="D511" s="17"/>
      <c r="E511" s="17"/>
      <c r="F511" s="17"/>
    </row>
    <row r="512" spans="1:6" ht="13.5" customHeight="1" x14ac:dyDescent="0.35">
      <c r="A512" s="17"/>
      <c r="B512" s="17"/>
      <c r="C512" s="17"/>
      <c r="D512" s="17"/>
      <c r="E512" s="17"/>
      <c r="F512" s="17"/>
    </row>
    <row r="513" spans="1:6" ht="13.5" customHeight="1" x14ac:dyDescent="0.35">
      <c r="A513" s="17"/>
      <c r="B513" s="17"/>
      <c r="C513" s="17"/>
      <c r="D513" s="17"/>
      <c r="E513" s="17"/>
      <c r="F513" s="17"/>
    </row>
    <row r="514" spans="1:6" ht="13.5" customHeight="1" x14ac:dyDescent="0.35">
      <c r="A514" s="17"/>
      <c r="B514" s="17"/>
      <c r="C514" s="17"/>
      <c r="D514" s="17"/>
      <c r="E514" s="17"/>
      <c r="F514" s="17"/>
    </row>
    <row r="515" spans="1:6" ht="13.5" customHeight="1" x14ac:dyDescent="0.35">
      <c r="A515" s="17"/>
      <c r="B515" s="17"/>
      <c r="C515" s="17"/>
      <c r="D515" s="17"/>
      <c r="E515" s="17"/>
      <c r="F515" s="17"/>
    </row>
    <row r="516" spans="1:6" ht="13.5" customHeight="1" x14ac:dyDescent="0.35">
      <c r="A516" s="17"/>
      <c r="B516" s="17"/>
      <c r="C516" s="17"/>
      <c r="D516" s="17"/>
      <c r="E516" s="17"/>
      <c r="F516" s="17"/>
    </row>
    <row r="517" spans="1:6" ht="13.5" customHeight="1" x14ac:dyDescent="0.35">
      <c r="A517" s="17"/>
      <c r="B517" s="17"/>
      <c r="C517" s="17"/>
      <c r="D517" s="17"/>
      <c r="E517" s="17"/>
      <c r="F517" s="17"/>
    </row>
    <row r="518" spans="1:6" ht="13.5" customHeight="1" x14ac:dyDescent="0.35">
      <c r="A518" s="17"/>
      <c r="B518" s="17"/>
      <c r="C518" s="17"/>
      <c r="D518" s="17"/>
      <c r="E518" s="17"/>
      <c r="F518" s="17"/>
    </row>
    <row r="519" spans="1:6" ht="13.5" customHeight="1" x14ac:dyDescent="0.35">
      <c r="A519" s="17"/>
      <c r="B519" s="17"/>
      <c r="C519" s="17"/>
      <c r="D519" s="17"/>
      <c r="E519" s="17"/>
      <c r="F519" s="17"/>
    </row>
    <row r="520" spans="1:6" ht="13.5" customHeight="1" x14ac:dyDescent="0.35">
      <c r="A520" s="17"/>
      <c r="B520" s="17"/>
      <c r="C520" s="17"/>
      <c r="D520" s="17"/>
      <c r="E520" s="17"/>
      <c r="F520" s="17"/>
    </row>
    <row r="521" spans="1:6" ht="13.5" customHeight="1" x14ac:dyDescent="0.35">
      <c r="A521" s="17"/>
      <c r="B521" s="17"/>
      <c r="C521" s="17"/>
      <c r="D521" s="17"/>
      <c r="E521" s="17"/>
      <c r="F521" s="17"/>
    </row>
    <row r="522" spans="1:6" ht="13.5" customHeight="1" x14ac:dyDescent="0.35">
      <c r="A522" s="17"/>
      <c r="B522" s="17"/>
      <c r="C522" s="17"/>
      <c r="D522" s="17"/>
      <c r="E522" s="17"/>
      <c r="F522" s="17"/>
    </row>
    <row r="523" spans="1:6" ht="13.5" customHeight="1" x14ac:dyDescent="0.35">
      <c r="A523" s="17"/>
      <c r="B523" s="17"/>
      <c r="C523" s="17"/>
      <c r="D523" s="17"/>
      <c r="E523" s="17"/>
      <c r="F523" s="17"/>
    </row>
    <row r="524" spans="1:6" ht="13.5" customHeight="1" x14ac:dyDescent="0.35">
      <c r="A524" s="17"/>
      <c r="B524" s="17"/>
      <c r="C524" s="17"/>
      <c r="D524" s="17"/>
      <c r="E524" s="17"/>
      <c r="F524" s="17"/>
    </row>
    <row r="525" spans="1:6" ht="13.5" customHeight="1" x14ac:dyDescent="0.35">
      <c r="A525" s="17"/>
      <c r="B525" s="17"/>
      <c r="C525" s="17"/>
      <c r="D525" s="17"/>
      <c r="E525" s="17"/>
      <c r="F525" s="17"/>
    </row>
    <row r="526" spans="1:6" ht="13.5" customHeight="1" x14ac:dyDescent="0.35">
      <c r="A526" s="17"/>
      <c r="B526" s="17"/>
      <c r="C526" s="17"/>
      <c r="D526" s="17"/>
      <c r="E526" s="17"/>
      <c r="F526" s="17"/>
    </row>
    <row r="527" spans="1:6" ht="13.5" customHeight="1" x14ac:dyDescent="0.35">
      <c r="A527" s="17"/>
      <c r="B527" s="17"/>
      <c r="C527" s="17"/>
      <c r="D527" s="17"/>
      <c r="E527" s="17"/>
      <c r="F527" s="17"/>
    </row>
    <row r="528" spans="1:6" ht="13.5" customHeight="1" x14ac:dyDescent="0.35">
      <c r="A528" s="17"/>
      <c r="B528" s="17"/>
      <c r="C528" s="17"/>
      <c r="D528" s="17"/>
      <c r="E528" s="17"/>
      <c r="F528" s="17"/>
    </row>
    <row r="529" spans="1:6" ht="13.5" customHeight="1" x14ac:dyDescent="0.35">
      <c r="A529" s="17"/>
      <c r="B529" s="17"/>
      <c r="C529" s="17"/>
      <c r="D529" s="17"/>
      <c r="E529" s="17"/>
      <c r="F529" s="17"/>
    </row>
    <row r="530" spans="1:6" ht="13.5" customHeight="1" x14ac:dyDescent="0.35">
      <c r="A530" s="17"/>
      <c r="B530" s="17"/>
      <c r="C530" s="17"/>
      <c r="D530" s="17"/>
      <c r="E530" s="17"/>
      <c r="F530" s="17"/>
    </row>
    <row r="531" spans="1:6" ht="13.5" customHeight="1" x14ac:dyDescent="0.35">
      <c r="A531" s="17"/>
      <c r="B531" s="17"/>
      <c r="C531" s="17"/>
      <c r="D531" s="17"/>
      <c r="E531" s="17"/>
      <c r="F531" s="17"/>
    </row>
    <row r="532" spans="1:6" ht="13.5" customHeight="1" x14ac:dyDescent="0.35">
      <c r="A532" s="17"/>
      <c r="B532" s="17"/>
      <c r="C532" s="17"/>
      <c r="D532" s="17"/>
      <c r="E532" s="17"/>
      <c r="F532" s="17"/>
    </row>
    <row r="533" spans="1:6" ht="13.5" customHeight="1" x14ac:dyDescent="0.35">
      <c r="A533" s="17"/>
      <c r="B533" s="17"/>
      <c r="C533" s="17"/>
      <c r="D533" s="17"/>
      <c r="E533" s="17"/>
      <c r="F533" s="17"/>
    </row>
    <row r="534" spans="1:6" ht="13.5" customHeight="1" x14ac:dyDescent="0.35">
      <c r="A534" s="17"/>
      <c r="B534" s="17"/>
      <c r="C534" s="17"/>
      <c r="D534" s="17"/>
      <c r="E534" s="17"/>
      <c r="F534" s="17"/>
    </row>
    <row r="535" spans="1:6" ht="13.5" customHeight="1" x14ac:dyDescent="0.35">
      <c r="A535" s="17"/>
      <c r="B535" s="17"/>
      <c r="C535" s="17"/>
      <c r="D535" s="17"/>
      <c r="E535" s="17"/>
      <c r="F535" s="17"/>
    </row>
    <row r="536" spans="1:6" ht="13.5" customHeight="1" x14ac:dyDescent="0.35">
      <c r="A536" s="17"/>
      <c r="B536" s="17"/>
      <c r="C536" s="17"/>
      <c r="D536" s="17"/>
      <c r="E536" s="17"/>
      <c r="F536" s="17"/>
    </row>
    <row r="537" spans="1:6" ht="13.5" customHeight="1" x14ac:dyDescent="0.35">
      <c r="A537" s="17"/>
      <c r="B537" s="17"/>
      <c r="C537" s="17"/>
      <c r="D537" s="17"/>
      <c r="E537" s="17"/>
      <c r="F537" s="17"/>
    </row>
    <row r="538" spans="1:6" ht="13.5" customHeight="1" x14ac:dyDescent="0.35">
      <c r="A538" s="17"/>
      <c r="B538" s="17"/>
      <c r="C538" s="17"/>
      <c r="D538" s="17"/>
      <c r="E538" s="17"/>
      <c r="F538" s="17"/>
    </row>
    <row r="539" spans="1:6" ht="13.5" customHeight="1" x14ac:dyDescent="0.35">
      <c r="A539" s="17"/>
      <c r="B539" s="17"/>
      <c r="C539" s="17"/>
      <c r="D539" s="17"/>
      <c r="E539" s="17"/>
      <c r="F539" s="17"/>
    </row>
    <row r="540" spans="1:6" ht="13.5" customHeight="1" x14ac:dyDescent="0.35">
      <c r="A540" s="17"/>
      <c r="B540" s="17"/>
      <c r="C540" s="17"/>
      <c r="D540" s="17"/>
      <c r="E540" s="17"/>
      <c r="F540" s="17"/>
    </row>
    <row r="541" spans="1:6" ht="13.5" customHeight="1" x14ac:dyDescent="0.35">
      <c r="A541" s="17"/>
      <c r="B541" s="17"/>
      <c r="C541" s="17"/>
      <c r="D541" s="17"/>
      <c r="E541" s="17"/>
      <c r="F541" s="17"/>
    </row>
    <row r="542" spans="1:6" ht="13.5" customHeight="1" x14ac:dyDescent="0.35">
      <c r="A542" s="17"/>
      <c r="B542" s="17"/>
      <c r="C542" s="17"/>
      <c r="D542" s="17"/>
      <c r="E542" s="17"/>
      <c r="F542" s="17"/>
    </row>
    <row r="543" spans="1:6" ht="13.5" customHeight="1" x14ac:dyDescent="0.35">
      <c r="A543" s="17"/>
      <c r="B543" s="17"/>
      <c r="C543" s="17"/>
      <c r="D543" s="17"/>
      <c r="E543" s="17"/>
      <c r="F543" s="17"/>
    </row>
    <row r="544" spans="1:6" ht="13.5" customHeight="1" x14ac:dyDescent="0.35">
      <c r="A544" s="17"/>
      <c r="B544" s="17"/>
      <c r="C544" s="17"/>
      <c r="D544" s="17"/>
      <c r="E544" s="17"/>
      <c r="F544" s="17"/>
    </row>
    <row r="545" spans="1:6" ht="13.5" customHeight="1" x14ac:dyDescent="0.35">
      <c r="A545" s="17"/>
      <c r="B545" s="17"/>
      <c r="C545" s="17"/>
      <c r="D545" s="17"/>
      <c r="E545" s="17"/>
      <c r="F545" s="17"/>
    </row>
    <row r="546" spans="1:6" ht="13.5" customHeight="1" x14ac:dyDescent="0.35">
      <c r="A546" s="17"/>
      <c r="B546" s="17"/>
      <c r="C546" s="17"/>
      <c r="D546" s="17"/>
      <c r="E546" s="17"/>
      <c r="F546" s="17"/>
    </row>
    <row r="547" spans="1:6" ht="13.5" customHeight="1" x14ac:dyDescent="0.35">
      <c r="A547" s="17"/>
      <c r="B547" s="17"/>
      <c r="C547" s="17"/>
      <c r="D547" s="17"/>
      <c r="E547" s="17"/>
      <c r="F547" s="17"/>
    </row>
    <row r="548" spans="1:6" ht="13.5" customHeight="1" x14ac:dyDescent="0.35">
      <c r="A548" s="17"/>
      <c r="B548" s="17"/>
      <c r="C548" s="17"/>
      <c r="D548" s="17"/>
      <c r="E548" s="17"/>
      <c r="F548" s="17"/>
    </row>
    <row r="549" spans="1:6" ht="13.5" customHeight="1" x14ac:dyDescent="0.35">
      <c r="A549" s="17"/>
      <c r="B549" s="17"/>
      <c r="C549" s="17"/>
      <c r="D549" s="17"/>
      <c r="E549" s="17"/>
      <c r="F549" s="17"/>
    </row>
    <row r="550" spans="1:6" ht="13.5" customHeight="1" x14ac:dyDescent="0.35">
      <c r="A550" s="17"/>
      <c r="B550" s="17"/>
      <c r="C550" s="17"/>
      <c r="D550" s="17"/>
      <c r="E550" s="17"/>
      <c r="F550" s="17"/>
    </row>
    <row r="551" spans="1:6" ht="13.5" customHeight="1" x14ac:dyDescent="0.35">
      <c r="A551" s="17"/>
      <c r="B551" s="17"/>
      <c r="C551" s="17"/>
      <c r="D551" s="17"/>
      <c r="E551" s="17"/>
      <c r="F551" s="17"/>
    </row>
    <row r="552" spans="1:6" ht="13.5" customHeight="1" x14ac:dyDescent="0.35">
      <c r="A552" s="17"/>
      <c r="B552" s="17"/>
      <c r="C552" s="17"/>
      <c r="D552" s="17"/>
      <c r="E552" s="17"/>
      <c r="F552" s="17"/>
    </row>
    <row r="553" spans="1:6" ht="13.5" customHeight="1" x14ac:dyDescent="0.35">
      <c r="A553" s="17"/>
      <c r="B553" s="17"/>
      <c r="C553" s="17"/>
      <c r="D553" s="17"/>
      <c r="E553" s="17"/>
      <c r="F553" s="17"/>
    </row>
    <row r="554" spans="1:6" ht="13.5" customHeight="1" x14ac:dyDescent="0.35">
      <c r="A554" s="17"/>
      <c r="B554" s="17"/>
      <c r="C554" s="17"/>
      <c r="D554" s="17"/>
      <c r="E554" s="17"/>
      <c r="F554" s="17"/>
    </row>
    <row r="555" spans="1:6" ht="13.5" customHeight="1" x14ac:dyDescent="0.35">
      <c r="A555" s="17"/>
      <c r="B555" s="17"/>
      <c r="C555" s="17"/>
      <c r="D555" s="17"/>
      <c r="E555" s="17"/>
      <c r="F555" s="17"/>
    </row>
    <row r="556" spans="1:6" ht="13.5" customHeight="1" x14ac:dyDescent="0.35">
      <c r="A556" s="17"/>
      <c r="B556" s="17"/>
      <c r="C556" s="17"/>
      <c r="D556" s="17"/>
      <c r="E556" s="17"/>
      <c r="F556" s="17"/>
    </row>
    <row r="557" spans="1:6" ht="13.5" customHeight="1" x14ac:dyDescent="0.35">
      <c r="A557" s="17"/>
      <c r="B557" s="17"/>
      <c r="C557" s="17"/>
      <c r="D557" s="17"/>
      <c r="E557" s="17"/>
      <c r="F557" s="17"/>
    </row>
    <row r="558" spans="1:6" ht="13.5" customHeight="1" x14ac:dyDescent="0.35">
      <c r="A558" s="17"/>
      <c r="B558" s="17"/>
      <c r="C558" s="17"/>
      <c r="D558" s="17"/>
      <c r="E558" s="17"/>
      <c r="F558" s="17"/>
    </row>
    <row r="559" spans="1:6" ht="13.5" customHeight="1" x14ac:dyDescent="0.35">
      <c r="A559" s="17"/>
      <c r="B559" s="17"/>
      <c r="C559" s="17"/>
      <c r="D559" s="17"/>
      <c r="E559" s="17"/>
      <c r="F559" s="17"/>
    </row>
    <row r="560" spans="1:6" ht="13.5" customHeight="1" x14ac:dyDescent="0.35">
      <c r="A560" s="17"/>
      <c r="B560" s="17"/>
      <c r="C560" s="17"/>
      <c r="D560" s="17"/>
      <c r="E560" s="17"/>
      <c r="F560" s="17"/>
    </row>
    <row r="561" spans="1:6" ht="13.5" customHeight="1" x14ac:dyDescent="0.35">
      <c r="A561" s="17"/>
      <c r="B561" s="17"/>
      <c r="C561" s="17"/>
      <c r="D561" s="17"/>
      <c r="E561" s="17"/>
      <c r="F561" s="17"/>
    </row>
    <row r="562" spans="1:6" ht="13.5" customHeight="1" x14ac:dyDescent="0.35">
      <c r="A562" s="17"/>
      <c r="B562" s="17"/>
      <c r="C562" s="17"/>
      <c r="D562" s="17"/>
      <c r="E562" s="17"/>
      <c r="F562" s="17"/>
    </row>
    <row r="563" spans="1:6" ht="13.5" customHeight="1" x14ac:dyDescent="0.35">
      <c r="A563" s="17"/>
      <c r="B563" s="17"/>
      <c r="C563" s="17"/>
      <c r="D563" s="17"/>
      <c r="E563" s="17"/>
      <c r="F563" s="17"/>
    </row>
    <row r="564" spans="1:6" ht="13.5" customHeight="1" x14ac:dyDescent="0.35">
      <c r="A564" s="17"/>
      <c r="B564" s="17"/>
      <c r="C564" s="17"/>
      <c r="D564" s="17"/>
      <c r="E564" s="17"/>
      <c r="F564" s="17"/>
    </row>
    <row r="565" spans="1:6" ht="13.5" customHeight="1" x14ac:dyDescent="0.35">
      <c r="A565" s="17"/>
      <c r="B565" s="17"/>
      <c r="C565" s="17"/>
      <c r="D565" s="17"/>
      <c r="E565" s="17"/>
      <c r="F565" s="17"/>
    </row>
    <row r="566" spans="1:6" ht="13.5" customHeight="1" x14ac:dyDescent="0.35">
      <c r="A566" s="17"/>
      <c r="B566" s="17"/>
      <c r="C566" s="17"/>
      <c r="D566" s="17"/>
      <c r="E566" s="17"/>
      <c r="F566" s="17"/>
    </row>
    <row r="567" spans="1:6" ht="13.5" customHeight="1" x14ac:dyDescent="0.35">
      <c r="A567" s="17"/>
      <c r="B567" s="17"/>
      <c r="C567" s="17"/>
      <c r="D567" s="17"/>
      <c r="E567" s="17"/>
      <c r="F567" s="17"/>
    </row>
    <row r="568" spans="1:6" ht="13.5" customHeight="1" x14ac:dyDescent="0.35">
      <c r="A568" s="17"/>
      <c r="B568" s="17"/>
      <c r="C568" s="17"/>
      <c r="D568" s="17"/>
      <c r="E568" s="17"/>
      <c r="F568" s="17"/>
    </row>
    <row r="569" spans="1:6" ht="13.5" customHeight="1" x14ac:dyDescent="0.35">
      <c r="A569" s="17"/>
      <c r="B569" s="17"/>
      <c r="C569" s="17"/>
      <c r="D569" s="17"/>
      <c r="E569" s="17"/>
      <c r="F569" s="17"/>
    </row>
    <row r="570" spans="1:6" ht="13.5" customHeight="1" x14ac:dyDescent="0.35">
      <c r="A570" s="17"/>
      <c r="B570" s="17"/>
      <c r="C570" s="17"/>
      <c r="D570" s="17"/>
      <c r="E570" s="17"/>
      <c r="F570" s="17"/>
    </row>
    <row r="571" spans="1:6" ht="13.5" customHeight="1" x14ac:dyDescent="0.35">
      <c r="A571" s="17"/>
      <c r="B571" s="17"/>
      <c r="C571" s="17"/>
      <c r="D571" s="17"/>
      <c r="E571" s="17"/>
      <c r="F571" s="17"/>
    </row>
    <row r="572" spans="1:6" ht="13.5" customHeight="1" x14ac:dyDescent="0.35">
      <c r="A572" s="17"/>
      <c r="B572" s="17"/>
      <c r="C572" s="17"/>
      <c r="D572" s="17"/>
      <c r="E572" s="17"/>
      <c r="F572" s="17"/>
    </row>
    <row r="573" spans="1:6" ht="13.5" customHeight="1" x14ac:dyDescent="0.35">
      <c r="A573" s="17"/>
      <c r="B573" s="17"/>
      <c r="C573" s="17"/>
      <c r="D573" s="17"/>
      <c r="E573" s="17"/>
      <c r="F573" s="17"/>
    </row>
    <row r="574" spans="1:6" ht="13.5" customHeight="1" x14ac:dyDescent="0.35">
      <c r="A574" s="17"/>
      <c r="B574" s="17"/>
      <c r="C574" s="17"/>
      <c r="D574" s="17"/>
      <c r="E574" s="17"/>
      <c r="F574" s="17"/>
    </row>
    <row r="575" spans="1:6" ht="13.5" customHeight="1" x14ac:dyDescent="0.35">
      <c r="A575" s="17"/>
      <c r="B575" s="17"/>
      <c r="C575" s="17"/>
      <c r="D575" s="17"/>
      <c r="E575" s="17"/>
      <c r="F575" s="17"/>
    </row>
    <row r="576" spans="1:6" ht="13.5" customHeight="1" x14ac:dyDescent="0.35">
      <c r="A576" s="17"/>
      <c r="B576" s="17"/>
      <c r="C576" s="17"/>
      <c r="D576" s="17"/>
      <c r="E576" s="17"/>
      <c r="F576" s="17"/>
    </row>
    <row r="577" spans="1:6" ht="13.5" customHeight="1" x14ac:dyDescent="0.35">
      <c r="A577" s="17"/>
      <c r="B577" s="17"/>
      <c r="C577" s="17"/>
      <c r="D577" s="17"/>
      <c r="E577" s="17"/>
      <c r="F577" s="17"/>
    </row>
    <row r="578" spans="1:6" ht="13.5" customHeight="1" x14ac:dyDescent="0.35">
      <c r="A578" s="17"/>
      <c r="B578" s="17"/>
      <c r="C578" s="17"/>
      <c r="D578" s="17"/>
      <c r="E578" s="17"/>
      <c r="F578" s="17"/>
    </row>
    <row r="579" spans="1:6" ht="13.5" customHeight="1" x14ac:dyDescent="0.35">
      <c r="A579" s="17"/>
      <c r="B579" s="17"/>
      <c r="C579" s="17"/>
      <c r="D579" s="17"/>
      <c r="E579" s="17"/>
      <c r="F579" s="17"/>
    </row>
    <row r="580" spans="1:6" ht="13.5" customHeight="1" x14ac:dyDescent="0.35">
      <c r="A580" s="17"/>
      <c r="B580" s="17"/>
      <c r="C580" s="17"/>
      <c r="D580" s="17"/>
      <c r="E580" s="17"/>
      <c r="F580" s="17"/>
    </row>
    <row r="581" spans="1:6" ht="13.5" customHeight="1" x14ac:dyDescent="0.35">
      <c r="A581" s="17"/>
      <c r="B581" s="17"/>
      <c r="C581" s="17"/>
      <c r="D581" s="17"/>
      <c r="E581" s="17"/>
      <c r="F581" s="17"/>
    </row>
    <row r="582" spans="1:6" ht="13.5" customHeight="1" x14ac:dyDescent="0.35">
      <c r="A582" s="17"/>
      <c r="B582" s="17"/>
      <c r="C582" s="17"/>
      <c r="D582" s="17"/>
      <c r="E582" s="17"/>
      <c r="F582" s="17"/>
    </row>
    <row r="583" spans="1:6" ht="13.5" customHeight="1" x14ac:dyDescent="0.35">
      <c r="A583" s="17"/>
      <c r="B583" s="17"/>
      <c r="C583" s="17"/>
      <c r="D583" s="17"/>
      <c r="E583" s="17"/>
      <c r="F583" s="17"/>
    </row>
    <row r="584" spans="1:6" ht="13.5" customHeight="1" x14ac:dyDescent="0.35">
      <c r="A584" s="17"/>
      <c r="B584" s="17"/>
      <c r="C584" s="17"/>
      <c r="D584" s="17"/>
      <c r="E584" s="17"/>
      <c r="F584" s="17"/>
    </row>
    <row r="585" spans="1:6" ht="13.5" customHeight="1" x14ac:dyDescent="0.35">
      <c r="A585" s="17"/>
      <c r="B585" s="17"/>
      <c r="C585" s="17"/>
      <c r="D585" s="17"/>
      <c r="E585" s="17"/>
      <c r="F585" s="17"/>
    </row>
    <row r="586" spans="1:6" ht="13.5" customHeight="1" x14ac:dyDescent="0.35">
      <c r="A586" s="17"/>
      <c r="B586" s="17"/>
      <c r="C586" s="17"/>
      <c r="D586" s="17"/>
      <c r="E586" s="17"/>
      <c r="F586" s="17"/>
    </row>
    <row r="587" spans="1:6" ht="13.5" customHeight="1" x14ac:dyDescent="0.35">
      <c r="A587" s="17"/>
      <c r="B587" s="17"/>
      <c r="C587" s="17"/>
      <c r="D587" s="17"/>
      <c r="E587" s="17"/>
      <c r="F587" s="17"/>
    </row>
    <row r="588" spans="1:6" ht="13.5" customHeight="1" x14ac:dyDescent="0.35">
      <c r="A588" s="17"/>
      <c r="B588" s="17"/>
      <c r="C588" s="17"/>
      <c r="D588" s="17"/>
      <c r="E588" s="17"/>
      <c r="F588" s="17"/>
    </row>
    <row r="589" spans="1:6" ht="13.5" customHeight="1" x14ac:dyDescent="0.35">
      <c r="A589" s="17"/>
      <c r="B589" s="17"/>
      <c r="C589" s="17"/>
      <c r="D589" s="17"/>
      <c r="E589" s="17"/>
      <c r="F589" s="17"/>
    </row>
    <row r="590" spans="1:6" ht="13.5" customHeight="1" x14ac:dyDescent="0.35">
      <c r="A590" s="17"/>
      <c r="B590" s="17"/>
      <c r="C590" s="17"/>
      <c r="D590" s="17"/>
      <c r="E590" s="17"/>
      <c r="F590" s="17"/>
    </row>
    <row r="591" spans="1:6" ht="13.5" customHeight="1" x14ac:dyDescent="0.35">
      <c r="A591" s="17"/>
      <c r="B591" s="17"/>
      <c r="C591" s="17"/>
      <c r="D591" s="17"/>
      <c r="E591" s="17"/>
      <c r="F591" s="17"/>
    </row>
    <row r="592" spans="1:6" ht="13.5" customHeight="1" x14ac:dyDescent="0.35">
      <c r="A592" s="17"/>
      <c r="B592" s="17"/>
      <c r="C592" s="17"/>
      <c r="D592" s="17"/>
      <c r="E592" s="17"/>
      <c r="F592" s="17"/>
    </row>
    <row r="593" spans="1:6" ht="13.5" customHeight="1" x14ac:dyDescent="0.35">
      <c r="A593" s="17"/>
      <c r="B593" s="17"/>
      <c r="C593" s="17"/>
      <c r="D593" s="17"/>
      <c r="E593" s="17"/>
      <c r="F593" s="17"/>
    </row>
    <row r="594" spans="1:6" ht="13.5" customHeight="1" x14ac:dyDescent="0.35">
      <c r="A594" s="17"/>
      <c r="B594" s="17"/>
      <c r="C594" s="17"/>
      <c r="D594" s="17"/>
      <c r="E594" s="17"/>
      <c r="F594" s="17"/>
    </row>
    <row r="595" spans="1:6" ht="13.5" customHeight="1" x14ac:dyDescent="0.35">
      <c r="A595" s="17"/>
      <c r="B595" s="17"/>
      <c r="C595" s="17"/>
      <c r="D595" s="17"/>
      <c r="E595" s="17"/>
      <c r="F595" s="17"/>
    </row>
    <row r="596" spans="1:6" ht="13.5" customHeight="1" x14ac:dyDescent="0.35">
      <c r="A596" s="17"/>
      <c r="B596" s="17"/>
      <c r="C596" s="17"/>
      <c r="D596" s="17"/>
      <c r="E596" s="17"/>
      <c r="F596" s="17"/>
    </row>
    <row r="597" spans="1:6" ht="13.5" customHeight="1" x14ac:dyDescent="0.35">
      <c r="A597" s="17"/>
      <c r="B597" s="17"/>
      <c r="C597" s="17"/>
      <c r="D597" s="17"/>
      <c r="E597" s="17"/>
      <c r="F597" s="17"/>
    </row>
    <row r="598" spans="1:6" ht="13.5" customHeight="1" x14ac:dyDescent="0.35">
      <c r="A598" s="17"/>
      <c r="B598" s="17"/>
      <c r="C598" s="17"/>
      <c r="D598" s="17"/>
      <c r="E598" s="17"/>
      <c r="F598" s="17"/>
    </row>
    <row r="599" spans="1:6" ht="13.5" customHeight="1" x14ac:dyDescent="0.35">
      <c r="A599" s="17"/>
      <c r="B599" s="17"/>
      <c r="C599" s="17"/>
      <c r="D599" s="17"/>
      <c r="E599" s="17"/>
      <c r="F599" s="17"/>
    </row>
    <row r="600" spans="1:6" ht="13.5" customHeight="1" x14ac:dyDescent="0.35">
      <c r="A600" s="17"/>
      <c r="B600" s="17"/>
      <c r="C600" s="17"/>
      <c r="D600" s="17"/>
      <c r="E600" s="17"/>
      <c r="F600" s="17"/>
    </row>
    <row r="601" spans="1:6" ht="13.5" customHeight="1" x14ac:dyDescent="0.35">
      <c r="A601" s="17"/>
      <c r="B601" s="17"/>
      <c r="C601" s="17"/>
      <c r="D601" s="17"/>
      <c r="E601" s="17"/>
      <c r="F601" s="17"/>
    </row>
    <row r="602" spans="1:6" ht="13.5" customHeight="1" x14ac:dyDescent="0.35">
      <c r="A602" s="17"/>
      <c r="B602" s="17"/>
      <c r="C602" s="17"/>
      <c r="D602" s="17"/>
      <c r="E602" s="17"/>
      <c r="F602" s="17"/>
    </row>
    <row r="603" spans="1:6" ht="13.5" customHeight="1" x14ac:dyDescent="0.35">
      <c r="A603" s="17"/>
      <c r="B603" s="17"/>
      <c r="C603" s="17"/>
      <c r="D603" s="17"/>
      <c r="E603" s="17"/>
      <c r="F603" s="17"/>
    </row>
    <row r="604" spans="1:6" ht="13.5" customHeight="1" x14ac:dyDescent="0.35">
      <c r="A604" s="17"/>
      <c r="B604" s="17"/>
      <c r="C604" s="17"/>
      <c r="D604" s="17"/>
      <c r="E604" s="17"/>
      <c r="F604" s="17"/>
    </row>
    <row r="605" spans="1:6" ht="13.5" customHeight="1" x14ac:dyDescent="0.35">
      <c r="A605" s="17"/>
      <c r="B605" s="17"/>
      <c r="C605" s="17"/>
      <c r="D605" s="17"/>
      <c r="E605" s="17"/>
      <c r="F605" s="17"/>
    </row>
    <row r="606" spans="1:6" ht="13.5" customHeight="1" x14ac:dyDescent="0.35">
      <c r="A606" s="17"/>
      <c r="B606" s="17"/>
      <c r="C606" s="17"/>
      <c r="D606" s="17"/>
      <c r="E606" s="17"/>
      <c r="F606" s="17"/>
    </row>
    <row r="607" spans="1:6" ht="13.5" customHeight="1" x14ac:dyDescent="0.35">
      <c r="A607" s="17"/>
      <c r="B607" s="17"/>
      <c r="C607" s="17"/>
      <c r="D607" s="17"/>
      <c r="E607" s="17"/>
      <c r="F607" s="17"/>
    </row>
    <row r="608" spans="1:6" ht="13.5" customHeight="1" x14ac:dyDescent="0.35">
      <c r="A608" s="17"/>
      <c r="B608" s="17"/>
      <c r="C608" s="17"/>
      <c r="D608" s="17"/>
      <c r="E608" s="17"/>
      <c r="F608" s="17"/>
    </row>
    <row r="609" spans="1:6" ht="13.5" customHeight="1" x14ac:dyDescent="0.35">
      <c r="A609" s="17"/>
      <c r="B609" s="17"/>
      <c r="C609" s="17"/>
      <c r="D609" s="17"/>
      <c r="E609" s="17"/>
      <c r="F609" s="17"/>
    </row>
    <row r="610" spans="1:6" ht="13.5" customHeight="1" x14ac:dyDescent="0.35">
      <c r="A610" s="17"/>
      <c r="B610" s="17"/>
      <c r="C610" s="17"/>
      <c r="D610" s="17"/>
      <c r="E610" s="17"/>
      <c r="F610" s="17"/>
    </row>
    <row r="611" spans="1:6" ht="13.5" customHeight="1" x14ac:dyDescent="0.35">
      <c r="A611" s="17"/>
      <c r="B611" s="17"/>
      <c r="C611" s="17"/>
      <c r="D611" s="17"/>
      <c r="E611" s="17"/>
      <c r="F611" s="17"/>
    </row>
    <row r="612" spans="1:6" ht="13.5" customHeight="1" x14ac:dyDescent="0.35">
      <c r="A612" s="17"/>
      <c r="B612" s="17"/>
      <c r="C612" s="17"/>
      <c r="D612" s="17"/>
      <c r="E612" s="17"/>
      <c r="F612" s="17"/>
    </row>
    <row r="613" spans="1:6" ht="13.5" customHeight="1" x14ac:dyDescent="0.35">
      <c r="A613" s="17"/>
      <c r="B613" s="17"/>
      <c r="C613" s="17"/>
      <c r="D613" s="17"/>
      <c r="E613" s="17"/>
      <c r="F613" s="17"/>
    </row>
    <row r="614" spans="1:6" ht="13.5" customHeight="1" x14ac:dyDescent="0.35">
      <c r="A614" s="17"/>
      <c r="B614" s="17"/>
      <c r="C614" s="17"/>
      <c r="D614" s="17"/>
      <c r="E614" s="17"/>
      <c r="F614" s="17"/>
    </row>
    <row r="615" spans="1:6" ht="13.5" customHeight="1" x14ac:dyDescent="0.35">
      <c r="A615" s="17"/>
      <c r="B615" s="17"/>
      <c r="C615" s="17"/>
      <c r="D615" s="17"/>
      <c r="E615" s="17"/>
      <c r="F615" s="17"/>
    </row>
    <row r="616" spans="1:6" ht="13.5" customHeight="1" x14ac:dyDescent="0.35">
      <c r="A616" s="17"/>
      <c r="B616" s="17"/>
      <c r="C616" s="17"/>
      <c r="D616" s="17"/>
      <c r="E616" s="17"/>
      <c r="F616" s="17"/>
    </row>
    <row r="617" spans="1:6" ht="13.5" customHeight="1" x14ac:dyDescent="0.35">
      <c r="A617" s="17"/>
      <c r="B617" s="17"/>
      <c r="C617" s="17"/>
      <c r="D617" s="17"/>
      <c r="E617" s="17"/>
      <c r="F617" s="17"/>
    </row>
    <row r="618" spans="1:6" ht="13.5" customHeight="1" x14ac:dyDescent="0.35">
      <c r="A618" s="17"/>
      <c r="B618" s="17"/>
      <c r="C618" s="17"/>
      <c r="D618" s="17"/>
      <c r="E618" s="17"/>
      <c r="F618" s="17"/>
    </row>
    <row r="619" spans="1:6" ht="13.5" customHeight="1" x14ac:dyDescent="0.35">
      <c r="A619" s="17"/>
      <c r="B619" s="17"/>
      <c r="C619" s="17"/>
      <c r="D619" s="17"/>
      <c r="E619" s="17"/>
      <c r="F619" s="17"/>
    </row>
    <row r="620" spans="1:6" ht="13.5" customHeight="1" x14ac:dyDescent="0.35">
      <c r="A620" s="17"/>
      <c r="B620" s="17"/>
      <c r="C620" s="17"/>
      <c r="D620" s="17"/>
      <c r="E620" s="17"/>
      <c r="F620" s="17"/>
    </row>
    <row r="621" spans="1:6" ht="13.5" customHeight="1" x14ac:dyDescent="0.35">
      <c r="A621" s="17"/>
      <c r="B621" s="17"/>
      <c r="C621" s="17"/>
      <c r="D621" s="17"/>
      <c r="E621" s="17"/>
      <c r="F621" s="17"/>
    </row>
    <row r="622" spans="1:6" ht="13.5" customHeight="1" x14ac:dyDescent="0.35">
      <c r="A622" s="17"/>
      <c r="B622" s="17"/>
      <c r="C622" s="17"/>
      <c r="D622" s="17"/>
      <c r="E622" s="17"/>
      <c r="F622" s="17"/>
    </row>
    <row r="623" spans="1:6" ht="13.5" customHeight="1" x14ac:dyDescent="0.35">
      <c r="A623" s="17"/>
      <c r="B623" s="17"/>
      <c r="C623" s="17"/>
      <c r="D623" s="17"/>
      <c r="E623" s="17"/>
      <c r="F623" s="17"/>
    </row>
    <row r="624" spans="1:6" ht="13.5" customHeight="1" x14ac:dyDescent="0.35">
      <c r="A624" s="17"/>
      <c r="B624" s="17"/>
      <c r="C624" s="17"/>
      <c r="D624" s="17"/>
      <c r="E624" s="17"/>
      <c r="F624" s="17"/>
    </row>
    <row r="625" spans="1:6" ht="13.5" customHeight="1" x14ac:dyDescent="0.35">
      <c r="A625" s="17"/>
      <c r="B625" s="17"/>
      <c r="C625" s="17"/>
      <c r="D625" s="17"/>
      <c r="E625" s="17"/>
      <c r="F625" s="17"/>
    </row>
    <row r="626" spans="1:6" ht="13.5" customHeight="1" x14ac:dyDescent="0.35">
      <c r="A626" s="17"/>
      <c r="B626" s="17"/>
      <c r="C626" s="17"/>
      <c r="D626" s="17"/>
      <c r="E626" s="17"/>
      <c r="F626" s="17"/>
    </row>
    <row r="627" spans="1:6" ht="13.5" customHeight="1" x14ac:dyDescent="0.35">
      <c r="A627" s="17"/>
      <c r="B627" s="17"/>
      <c r="C627" s="17"/>
      <c r="D627" s="17"/>
      <c r="E627" s="17"/>
      <c r="F627" s="17"/>
    </row>
    <row r="628" spans="1:6" ht="13.5" customHeight="1" x14ac:dyDescent="0.35">
      <c r="A628" s="17"/>
      <c r="B628" s="17"/>
      <c r="C628" s="17"/>
      <c r="D628" s="17"/>
      <c r="E628" s="17"/>
      <c r="F628" s="17"/>
    </row>
    <row r="629" spans="1:6" ht="13.5" customHeight="1" x14ac:dyDescent="0.35">
      <c r="A629" s="17"/>
      <c r="B629" s="17"/>
      <c r="C629" s="17"/>
      <c r="D629" s="17"/>
      <c r="E629" s="17"/>
      <c r="F629" s="17"/>
    </row>
    <row r="630" spans="1:6" ht="13.5" customHeight="1" x14ac:dyDescent="0.35">
      <c r="A630" s="17"/>
      <c r="B630" s="17"/>
      <c r="C630" s="17"/>
      <c r="D630" s="17"/>
      <c r="E630" s="17"/>
      <c r="F630" s="17"/>
    </row>
    <row r="631" spans="1:6" ht="13.5" customHeight="1" x14ac:dyDescent="0.35">
      <c r="A631" s="17"/>
      <c r="B631" s="17"/>
      <c r="C631" s="17"/>
      <c r="D631" s="17"/>
      <c r="E631" s="17"/>
      <c r="F631" s="17"/>
    </row>
    <row r="632" spans="1:6" ht="13.5" customHeight="1" x14ac:dyDescent="0.35">
      <c r="A632" s="17"/>
      <c r="B632" s="17"/>
      <c r="C632" s="17"/>
      <c r="D632" s="17"/>
      <c r="E632" s="17"/>
      <c r="F632" s="17"/>
    </row>
    <row r="633" spans="1:6" ht="13.5" customHeight="1" x14ac:dyDescent="0.35">
      <c r="A633" s="17"/>
      <c r="B633" s="17"/>
      <c r="C633" s="17"/>
      <c r="D633" s="17"/>
      <c r="E633" s="17"/>
      <c r="F633" s="17"/>
    </row>
    <row r="634" spans="1:6" ht="13.5" customHeight="1" x14ac:dyDescent="0.35">
      <c r="A634" s="17"/>
      <c r="B634" s="17"/>
      <c r="C634" s="17"/>
      <c r="D634" s="17"/>
      <c r="E634" s="17"/>
      <c r="F634" s="17"/>
    </row>
    <row r="635" spans="1:6" ht="13.5" customHeight="1" x14ac:dyDescent="0.35">
      <c r="A635" s="17"/>
      <c r="B635" s="17"/>
      <c r="C635" s="17"/>
      <c r="D635" s="17"/>
      <c r="E635" s="17"/>
      <c r="F635" s="17"/>
    </row>
    <row r="636" spans="1:6" ht="13.5" customHeight="1" x14ac:dyDescent="0.35">
      <c r="A636" s="17"/>
      <c r="B636" s="17"/>
      <c r="C636" s="17"/>
      <c r="D636" s="17"/>
      <c r="E636" s="17"/>
      <c r="F636" s="17"/>
    </row>
    <row r="637" spans="1:6" ht="13.5" customHeight="1" x14ac:dyDescent="0.35">
      <c r="A637" s="17"/>
      <c r="B637" s="17"/>
      <c r="C637" s="17"/>
      <c r="D637" s="17"/>
      <c r="E637" s="17"/>
      <c r="F637" s="17"/>
    </row>
    <row r="638" spans="1:6" ht="13.5" customHeight="1" x14ac:dyDescent="0.35">
      <c r="A638" s="17"/>
      <c r="B638" s="17"/>
      <c r="C638" s="17"/>
      <c r="D638" s="17"/>
      <c r="E638" s="17"/>
      <c r="F638" s="17"/>
    </row>
    <row r="639" spans="1:6" ht="13.5" customHeight="1" x14ac:dyDescent="0.35">
      <c r="A639" s="17"/>
      <c r="B639" s="17"/>
      <c r="C639" s="17"/>
      <c r="D639" s="17"/>
      <c r="E639" s="17"/>
      <c r="F639" s="17"/>
    </row>
    <row r="640" spans="1:6" ht="13.5" customHeight="1" x14ac:dyDescent="0.35">
      <c r="A640" s="17"/>
      <c r="B640" s="17"/>
      <c r="C640" s="17"/>
      <c r="D640" s="17"/>
      <c r="E640" s="17"/>
      <c r="F640" s="17"/>
    </row>
    <row r="641" spans="1:6" ht="13.5" customHeight="1" x14ac:dyDescent="0.35">
      <c r="A641" s="17"/>
      <c r="B641" s="17"/>
      <c r="C641" s="17"/>
      <c r="D641" s="17"/>
      <c r="E641" s="17"/>
      <c r="F641" s="17"/>
    </row>
    <row r="642" spans="1:6" ht="13.5" customHeight="1" x14ac:dyDescent="0.35">
      <c r="A642" s="17"/>
      <c r="B642" s="17"/>
      <c r="C642" s="17"/>
      <c r="D642" s="17"/>
      <c r="E642" s="17"/>
      <c r="F642" s="17"/>
    </row>
    <row r="643" spans="1:6" ht="13.5" customHeight="1" x14ac:dyDescent="0.35">
      <c r="A643" s="17"/>
      <c r="B643" s="17"/>
      <c r="C643" s="17"/>
      <c r="D643" s="17"/>
      <c r="E643" s="17"/>
      <c r="F643" s="17"/>
    </row>
    <row r="644" spans="1:6" ht="13.5" customHeight="1" x14ac:dyDescent="0.35">
      <c r="A644" s="17"/>
      <c r="B644" s="17"/>
      <c r="C644" s="17"/>
      <c r="D644" s="17"/>
      <c r="E644" s="17"/>
      <c r="F644" s="17"/>
    </row>
    <row r="645" spans="1:6" ht="13.5" customHeight="1" x14ac:dyDescent="0.35">
      <c r="A645" s="17"/>
      <c r="B645" s="17"/>
      <c r="C645" s="17"/>
      <c r="D645" s="17"/>
      <c r="E645" s="17"/>
      <c r="F645" s="17"/>
    </row>
    <row r="646" spans="1:6" ht="13.5" customHeight="1" x14ac:dyDescent="0.35">
      <c r="A646" s="17"/>
      <c r="B646" s="17"/>
      <c r="C646" s="17"/>
      <c r="D646" s="17"/>
      <c r="E646" s="17"/>
      <c r="F646" s="17"/>
    </row>
    <row r="647" spans="1:6" ht="13.5" customHeight="1" x14ac:dyDescent="0.35">
      <c r="A647" s="17"/>
      <c r="B647" s="17"/>
      <c r="C647" s="17"/>
      <c r="D647" s="17"/>
      <c r="E647" s="17"/>
      <c r="F647" s="17"/>
    </row>
    <row r="648" spans="1:6" ht="13.5" customHeight="1" x14ac:dyDescent="0.35">
      <c r="A648" s="17"/>
      <c r="B648" s="17"/>
      <c r="C648" s="17"/>
      <c r="D648" s="17"/>
      <c r="E648" s="17"/>
      <c r="F648" s="17"/>
    </row>
    <row r="649" spans="1:6" ht="13.5" customHeight="1" x14ac:dyDescent="0.35">
      <c r="A649" s="17"/>
      <c r="B649" s="17"/>
      <c r="C649" s="17"/>
      <c r="D649" s="17"/>
      <c r="E649" s="17"/>
      <c r="F649" s="17"/>
    </row>
    <row r="650" spans="1:6" ht="13.5" customHeight="1" x14ac:dyDescent="0.35">
      <c r="A650" s="17"/>
      <c r="B650" s="17"/>
      <c r="C650" s="17"/>
      <c r="D650" s="17"/>
      <c r="E650" s="17"/>
      <c r="F650" s="17"/>
    </row>
    <row r="651" spans="1:6" ht="13.5" customHeight="1" x14ac:dyDescent="0.35">
      <c r="A651" s="17"/>
      <c r="B651" s="17"/>
      <c r="C651" s="17"/>
      <c r="D651" s="17"/>
      <c r="E651" s="17"/>
      <c r="F651" s="17"/>
    </row>
    <row r="652" spans="1:6" ht="13.5" customHeight="1" x14ac:dyDescent="0.35">
      <c r="A652" s="17"/>
      <c r="B652" s="17"/>
      <c r="C652" s="17"/>
      <c r="D652" s="17"/>
      <c r="E652" s="17"/>
      <c r="F652" s="17"/>
    </row>
    <row r="653" spans="1:6" ht="13.5" customHeight="1" x14ac:dyDescent="0.35">
      <c r="A653" s="17"/>
      <c r="B653" s="17"/>
      <c r="C653" s="17"/>
      <c r="D653" s="17"/>
      <c r="E653" s="17"/>
      <c r="F653" s="17"/>
    </row>
    <row r="654" spans="1:6" ht="13.5" customHeight="1" x14ac:dyDescent="0.35">
      <c r="A654" s="17"/>
      <c r="B654" s="17"/>
      <c r="C654" s="17"/>
      <c r="D654" s="17"/>
      <c r="E654" s="17"/>
      <c r="F654" s="17"/>
    </row>
    <row r="655" spans="1:6" ht="13.5" customHeight="1" x14ac:dyDescent="0.35">
      <c r="A655" s="17"/>
      <c r="B655" s="17"/>
      <c r="C655" s="17"/>
      <c r="D655" s="17"/>
      <c r="E655" s="17"/>
      <c r="F655" s="17"/>
    </row>
    <row r="656" spans="1:6" ht="13.5" customHeight="1" x14ac:dyDescent="0.35">
      <c r="A656" s="17"/>
      <c r="B656" s="17"/>
      <c r="C656" s="17"/>
      <c r="D656" s="17"/>
      <c r="E656" s="17"/>
      <c r="F656" s="17"/>
    </row>
    <row r="657" spans="1:6" ht="13.5" customHeight="1" x14ac:dyDescent="0.35">
      <c r="A657" s="17"/>
      <c r="B657" s="17"/>
      <c r="C657" s="17"/>
      <c r="D657" s="17"/>
      <c r="E657" s="17"/>
      <c r="F657" s="17"/>
    </row>
    <row r="658" spans="1:6" ht="13.5" customHeight="1" x14ac:dyDescent="0.35">
      <c r="A658" s="17"/>
      <c r="B658" s="17"/>
      <c r="C658" s="17"/>
      <c r="D658" s="17"/>
      <c r="E658" s="17"/>
      <c r="F658" s="17"/>
    </row>
    <row r="659" spans="1:6" ht="13.5" customHeight="1" x14ac:dyDescent="0.35">
      <c r="A659" s="17"/>
      <c r="B659" s="17"/>
      <c r="C659" s="17"/>
      <c r="D659" s="17"/>
      <c r="E659" s="17"/>
      <c r="F659" s="17"/>
    </row>
    <row r="660" spans="1:6" ht="13.5" customHeight="1" x14ac:dyDescent="0.35">
      <c r="A660" s="17"/>
      <c r="B660" s="17"/>
      <c r="C660" s="17"/>
      <c r="D660" s="17"/>
      <c r="E660" s="17"/>
      <c r="F660" s="17"/>
    </row>
    <row r="661" spans="1:6" ht="13.5" customHeight="1" x14ac:dyDescent="0.35">
      <c r="A661" s="17"/>
      <c r="B661" s="17"/>
      <c r="C661" s="17"/>
      <c r="D661" s="17"/>
      <c r="E661" s="17"/>
      <c r="F661" s="17"/>
    </row>
    <row r="662" spans="1:6" ht="13.5" customHeight="1" x14ac:dyDescent="0.35">
      <c r="A662" s="17"/>
      <c r="B662" s="17"/>
      <c r="C662" s="17"/>
      <c r="D662" s="17"/>
      <c r="E662" s="17"/>
      <c r="F662" s="17"/>
    </row>
    <row r="663" spans="1:6" ht="13.5" customHeight="1" x14ac:dyDescent="0.35">
      <c r="A663" s="17"/>
      <c r="B663" s="17"/>
      <c r="C663" s="17"/>
      <c r="D663" s="17"/>
      <c r="E663" s="17"/>
      <c r="F663" s="17"/>
    </row>
    <row r="664" spans="1:6" ht="13.5" customHeight="1" x14ac:dyDescent="0.35">
      <c r="A664" s="17"/>
      <c r="B664" s="17"/>
      <c r="C664" s="17"/>
      <c r="D664" s="17"/>
      <c r="E664" s="17"/>
      <c r="F664" s="17"/>
    </row>
    <row r="665" spans="1:6" ht="13.5" customHeight="1" x14ac:dyDescent="0.35">
      <c r="A665" s="17"/>
      <c r="B665" s="17"/>
      <c r="C665" s="17"/>
      <c r="D665" s="17"/>
      <c r="E665" s="17"/>
      <c r="F665" s="17"/>
    </row>
    <row r="666" spans="1:6" ht="13.5" customHeight="1" x14ac:dyDescent="0.35">
      <c r="A666" s="17"/>
      <c r="B666" s="17"/>
      <c r="C666" s="17"/>
      <c r="D666" s="17"/>
      <c r="E666" s="17"/>
      <c r="F666" s="17"/>
    </row>
    <row r="667" spans="1:6" ht="13.5" customHeight="1" x14ac:dyDescent="0.35">
      <c r="A667" s="17"/>
      <c r="B667" s="17"/>
      <c r="C667" s="17"/>
      <c r="D667" s="17"/>
      <c r="E667" s="17"/>
      <c r="F667" s="17"/>
    </row>
    <row r="668" spans="1:6" ht="13.5" customHeight="1" x14ac:dyDescent="0.35">
      <c r="A668" s="17"/>
      <c r="B668" s="17"/>
      <c r="C668" s="17"/>
      <c r="D668" s="17"/>
      <c r="E668" s="17"/>
      <c r="F668" s="17"/>
    </row>
    <row r="669" spans="1:6" ht="13.5" customHeight="1" x14ac:dyDescent="0.35">
      <c r="A669" s="17"/>
      <c r="B669" s="17"/>
      <c r="C669" s="17"/>
      <c r="D669" s="17"/>
      <c r="E669" s="17"/>
      <c r="F669" s="17"/>
    </row>
    <row r="670" spans="1:6" ht="13.5" customHeight="1" x14ac:dyDescent="0.35">
      <c r="A670" s="17"/>
      <c r="B670" s="17"/>
      <c r="C670" s="17"/>
      <c r="D670" s="17"/>
      <c r="E670" s="17"/>
      <c r="F670" s="17"/>
    </row>
    <row r="671" spans="1:6" ht="13.5" customHeight="1" x14ac:dyDescent="0.35">
      <c r="A671" s="17"/>
      <c r="B671" s="17"/>
      <c r="C671" s="17"/>
      <c r="D671" s="17"/>
      <c r="E671" s="17"/>
      <c r="F671" s="17"/>
    </row>
    <row r="672" spans="1:6" ht="13.5" customHeight="1" x14ac:dyDescent="0.35">
      <c r="A672" s="17"/>
      <c r="B672" s="17"/>
      <c r="C672" s="17"/>
      <c r="D672" s="17"/>
      <c r="E672" s="17"/>
      <c r="F672" s="17"/>
    </row>
    <row r="673" spans="1:6" ht="13.5" customHeight="1" x14ac:dyDescent="0.35">
      <c r="A673" s="17"/>
      <c r="B673" s="17"/>
      <c r="C673" s="17"/>
      <c r="D673" s="17"/>
      <c r="E673" s="17"/>
      <c r="F673" s="17"/>
    </row>
    <row r="674" spans="1:6" ht="13.5" customHeight="1" x14ac:dyDescent="0.35">
      <c r="A674" s="17"/>
      <c r="B674" s="17"/>
      <c r="C674" s="17"/>
      <c r="D674" s="17"/>
      <c r="E674" s="17"/>
      <c r="F674" s="17"/>
    </row>
    <row r="675" spans="1:6" ht="13.5" customHeight="1" x14ac:dyDescent="0.35">
      <c r="A675" s="17"/>
      <c r="B675" s="17"/>
      <c r="C675" s="17"/>
      <c r="D675" s="17"/>
      <c r="E675" s="17"/>
      <c r="F675" s="17"/>
    </row>
    <row r="676" spans="1:6" ht="13.5" customHeight="1" x14ac:dyDescent="0.35">
      <c r="A676" s="17"/>
      <c r="B676" s="17"/>
      <c r="C676" s="17"/>
      <c r="D676" s="17"/>
      <c r="E676" s="17"/>
      <c r="F676" s="17"/>
    </row>
    <row r="677" spans="1:6" ht="13.5" customHeight="1" x14ac:dyDescent="0.35">
      <c r="A677" s="17"/>
      <c r="B677" s="17"/>
      <c r="C677" s="17"/>
      <c r="D677" s="17"/>
      <c r="E677" s="17"/>
      <c r="F677" s="17"/>
    </row>
    <row r="678" spans="1:6" ht="13.5" customHeight="1" x14ac:dyDescent="0.35">
      <c r="A678" s="17"/>
      <c r="B678" s="17"/>
      <c r="C678" s="17"/>
      <c r="D678" s="17"/>
      <c r="E678" s="17"/>
      <c r="F678" s="17"/>
    </row>
    <row r="679" spans="1:6" ht="13.5" customHeight="1" x14ac:dyDescent="0.35">
      <c r="A679" s="17"/>
      <c r="B679" s="17"/>
      <c r="C679" s="17"/>
      <c r="D679" s="17"/>
      <c r="E679" s="17"/>
      <c r="F679" s="17"/>
    </row>
    <row r="680" spans="1:6" ht="13.5" customHeight="1" x14ac:dyDescent="0.35">
      <c r="A680" s="17"/>
      <c r="B680" s="17"/>
      <c r="C680" s="17"/>
      <c r="D680" s="17"/>
      <c r="E680" s="17"/>
      <c r="F680" s="17"/>
    </row>
    <row r="681" spans="1:6" ht="13.5" customHeight="1" x14ac:dyDescent="0.35">
      <c r="A681" s="17"/>
      <c r="B681" s="17"/>
      <c r="C681" s="17"/>
      <c r="D681" s="17"/>
      <c r="E681" s="17"/>
      <c r="F681" s="17"/>
    </row>
    <row r="682" spans="1:6" ht="13.5" customHeight="1" x14ac:dyDescent="0.35">
      <c r="A682" s="17"/>
      <c r="B682" s="17"/>
      <c r="C682" s="17"/>
      <c r="D682" s="17"/>
      <c r="E682" s="17"/>
      <c r="F682" s="17"/>
    </row>
    <row r="683" spans="1:6" ht="13.5" customHeight="1" x14ac:dyDescent="0.35">
      <c r="A683" s="17"/>
      <c r="B683" s="17"/>
      <c r="C683" s="17"/>
      <c r="D683" s="17"/>
      <c r="E683" s="17"/>
      <c r="F683" s="17"/>
    </row>
    <row r="684" spans="1:6" ht="13.5" customHeight="1" x14ac:dyDescent="0.35">
      <c r="A684" s="17"/>
      <c r="B684" s="17"/>
      <c r="C684" s="17"/>
      <c r="D684" s="17"/>
      <c r="E684" s="17"/>
      <c r="F684" s="17"/>
    </row>
    <row r="685" spans="1:6" ht="13.5" customHeight="1" x14ac:dyDescent="0.35">
      <c r="A685" s="17"/>
      <c r="B685" s="17"/>
      <c r="C685" s="17"/>
      <c r="D685" s="17"/>
      <c r="E685" s="17"/>
      <c r="F685" s="17"/>
    </row>
    <row r="686" spans="1:6" ht="13.5" customHeight="1" x14ac:dyDescent="0.35">
      <c r="A686" s="17"/>
      <c r="B686" s="17"/>
      <c r="C686" s="17"/>
      <c r="D686" s="17"/>
      <c r="E686" s="17"/>
      <c r="F686" s="17"/>
    </row>
    <row r="687" spans="1:6" ht="13.5" customHeight="1" x14ac:dyDescent="0.35">
      <c r="A687" s="17"/>
      <c r="B687" s="17"/>
      <c r="C687" s="17"/>
      <c r="D687" s="17"/>
      <c r="E687" s="17"/>
      <c r="F687" s="17"/>
    </row>
    <row r="688" spans="1:6" ht="13.5" customHeight="1" x14ac:dyDescent="0.35">
      <c r="A688" s="17"/>
      <c r="B688" s="17"/>
      <c r="C688" s="17"/>
      <c r="D688" s="17"/>
      <c r="E688" s="17"/>
      <c r="F688" s="17"/>
    </row>
    <row r="689" spans="1:6" ht="13.5" customHeight="1" x14ac:dyDescent="0.35">
      <c r="A689" s="17"/>
      <c r="B689" s="17"/>
      <c r="C689" s="17"/>
      <c r="D689" s="17"/>
      <c r="E689" s="17"/>
      <c r="F689" s="17"/>
    </row>
    <row r="690" spans="1:6" ht="13.5" customHeight="1" x14ac:dyDescent="0.35">
      <c r="A690" s="17"/>
      <c r="B690" s="17"/>
      <c r="C690" s="17"/>
      <c r="D690" s="17"/>
      <c r="E690" s="17"/>
      <c r="F690" s="17"/>
    </row>
    <row r="691" spans="1:6" ht="13.5" customHeight="1" x14ac:dyDescent="0.35">
      <c r="A691" s="17"/>
      <c r="B691" s="17"/>
      <c r="C691" s="17"/>
      <c r="D691" s="17"/>
      <c r="E691" s="17"/>
      <c r="F691" s="17"/>
    </row>
    <row r="692" spans="1:6" ht="13.5" customHeight="1" x14ac:dyDescent="0.35">
      <c r="A692" s="17"/>
      <c r="B692" s="17"/>
      <c r="C692" s="17"/>
      <c r="D692" s="17"/>
      <c r="E692" s="17"/>
      <c r="F692" s="17"/>
    </row>
    <row r="693" spans="1:6" ht="13.5" customHeight="1" x14ac:dyDescent="0.35">
      <c r="A693" s="17"/>
      <c r="B693" s="17"/>
      <c r="C693" s="17"/>
      <c r="D693" s="17"/>
      <c r="E693" s="17"/>
      <c r="F693" s="17"/>
    </row>
    <row r="694" spans="1:6" ht="13.5" customHeight="1" x14ac:dyDescent="0.35">
      <c r="A694" s="17"/>
      <c r="B694" s="17"/>
      <c r="C694" s="17"/>
      <c r="D694" s="17"/>
      <c r="E694" s="17"/>
      <c r="F694" s="17"/>
    </row>
    <row r="695" spans="1:6" ht="13.5" customHeight="1" x14ac:dyDescent="0.35">
      <c r="A695" s="17"/>
      <c r="B695" s="17"/>
      <c r="C695" s="17"/>
      <c r="D695" s="17"/>
      <c r="E695" s="17"/>
      <c r="F695" s="17"/>
    </row>
    <row r="696" spans="1:6" ht="13.5" customHeight="1" x14ac:dyDescent="0.35">
      <c r="A696" s="17"/>
      <c r="B696" s="17"/>
      <c r="C696" s="17"/>
      <c r="D696" s="17"/>
      <c r="E696" s="17"/>
      <c r="F696" s="17"/>
    </row>
    <row r="697" spans="1:6" ht="13.5" customHeight="1" x14ac:dyDescent="0.35">
      <c r="A697" s="17"/>
      <c r="B697" s="17"/>
      <c r="C697" s="17"/>
      <c r="D697" s="17"/>
      <c r="E697" s="17"/>
      <c r="F697" s="17"/>
    </row>
    <row r="698" spans="1:6" ht="13.5" customHeight="1" x14ac:dyDescent="0.35">
      <c r="A698" s="17"/>
      <c r="B698" s="17"/>
      <c r="C698" s="17"/>
      <c r="D698" s="17"/>
      <c r="E698" s="17"/>
      <c r="F698" s="17"/>
    </row>
    <row r="699" spans="1:6" ht="13.5" customHeight="1" x14ac:dyDescent="0.35">
      <c r="A699" s="17"/>
      <c r="B699" s="17"/>
      <c r="C699" s="17"/>
      <c r="D699" s="17"/>
      <c r="E699" s="17"/>
      <c r="F699" s="17"/>
    </row>
    <row r="700" spans="1:6" ht="13.5" customHeight="1" x14ac:dyDescent="0.35">
      <c r="A700" s="17"/>
      <c r="B700" s="17"/>
      <c r="C700" s="17"/>
      <c r="D700" s="17"/>
      <c r="E700" s="17"/>
      <c r="F700" s="17"/>
    </row>
    <row r="701" spans="1:6" ht="13.5" customHeight="1" x14ac:dyDescent="0.35">
      <c r="A701" s="17"/>
      <c r="B701" s="17"/>
      <c r="C701" s="17"/>
      <c r="D701" s="17"/>
      <c r="E701" s="17"/>
      <c r="F701" s="17"/>
    </row>
    <row r="702" spans="1:6" ht="13.5" customHeight="1" x14ac:dyDescent="0.35">
      <c r="A702" s="17"/>
      <c r="B702" s="17"/>
      <c r="C702" s="17"/>
      <c r="D702" s="17"/>
      <c r="E702" s="17"/>
      <c r="F702" s="17"/>
    </row>
    <row r="703" spans="1:6" ht="13.5" customHeight="1" x14ac:dyDescent="0.35">
      <c r="A703" s="17"/>
      <c r="B703" s="17"/>
      <c r="C703" s="17"/>
      <c r="D703" s="17"/>
      <c r="E703" s="17"/>
      <c r="F703" s="17"/>
    </row>
    <row r="704" spans="1:6" ht="13.5" customHeight="1" x14ac:dyDescent="0.35">
      <c r="A704" s="17"/>
      <c r="B704" s="17"/>
      <c r="C704" s="17"/>
      <c r="D704" s="17"/>
      <c r="E704" s="17"/>
      <c r="F704" s="17"/>
    </row>
    <row r="705" spans="1:6" ht="13.5" customHeight="1" x14ac:dyDescent="0.35">
      <c r="A705" s="17"/>
      <c r="B705" s="17"/>
      <c r="C705" s="17"/>
      <c r="D705" s="17"/>
      <c r="E705" s="17"/>
      <c r="F705" s="17"/>
    </row>
    <row r="706" spans="1:6" ht="13.5" customHeight="1" x14ac:dyDescent="0.35">
      <c r="A706" s="17"/>
      <c r="B706" s="17"/>
      <c r="C706" s="17"/>
      <c r="D706" s="17"/>
      <c r="E706" s="17"/>
      <c r="F706" s="17"/>
    </row>
    <row r="707" spans="1:6" ht="13.5" customHeight="1" x14ac:dyDescent="0.35">
      <c r="A707" s="17"/>
      <c r="B707" s="17"/>
      <c r="C707" s="17"/>
      <c r="D707" s="17"/>
      <c r="E707" s="17"/>
      <c r="F707" s="17"/>
    </row>
    <row r="708" spans="1:6" ht="13.5" customHeight="1" x14ac:dyDescent="0.35">
      <c r="A708" s="17"/>
      <c r="B708" s="17"/>
      <c r="C708" s="17"/>
      <c r="D708" s="17"/>
      <c r="E708" s="17"/>
      <c r="F708" s="17"/>
    </row>
    <row r="709" spans="1:6" ht="13.5" customHeight="1" x14ac:dyDescent="0.35">
      <c r="A709" s="17"/>
      <c r="B709" s="17"/>
      <c r="C709" s="17"/>
      <c r="D709" s="17"/>
      <c r="E709" s="17"/>
      <c r="F709" s="17"/>
    </row>
    <row r="710" spans="1:6" ht="13.5" customHeight="1" x14ac:dyDescent="0.35">
      <c r="A710" s="17"/>
      <c r="B710" s="17"/>
      <c r="C710" s="17"/>
      <c r="D710" s="17"/>
      <c r="E710" s="17"/>
      <c r="F710" s="17"/>
    </row>
    <row r="711" spans="1:6" ht="13.5" customHeight="1" x14ac:dyDescent="0.35">
      <c r="A711" s="17"/>
      <c r="B711" s="17"/>
      <c r="C711" s="17"/>
      <c r="D711" s="17"/>
      <c r="E711" s="17"/>
      <c r="F711" s="17"/>
    </row>
    <row r="712" spans="1:6" ht="13.5" customHeight="1" x14ac:dyDescent="0.35">
      <c r="A712" s="17"/>
      <c r="B712" s="17"/>
      <c r="C712" s="17"/>
      <c r="D712" s="17"/>
      <c r="E712" s="17"/>
      <c r="F712" s="17"/>
    </row>
    <row r="713" spans="1:6" ht="13.5" customHeight="1" x14ac:dyDescent="0.35">
      <c r="A713" s="17"/>
      <c r="B713" s="17"/>
      <c r="C713" s="17"/>
      <c r="D713" s="17"/>
      <c r="E713" s="17"/>
      <c r="F713" s="17"/>
    </row>
    <row r="714" spans="1:6" ht="13.5" customHeight="1" x14ac:dyDescent="0.35">
      <c r="A714" s="17"/>
      <c r="B714" s="17"/>
      <c r="C714" s="17"/>
      <c r="D714" s="17"/>
      <c r="E714" s="17"/>
      <c r="F714" s="17"/>
    </row>
    <row r="715" spans="1:6" ht="13.5" customHeight="1" x14ac:dyDescent="0.35">
      <c r="A715" s="17"/>
      <c r="B715" s="17"/>
      <c r="C715" s="17"/>
      <c r="D715" s="17"/>
      <c r="E715" s="17"/>
      <c r="F715" s="17"/>
    </row>
    <row r="716" spans="1:6" ht="13.5" customHeight="1" x14ac:dyDescent="0.35">
      <c r="A716" s="17"/>
      <c r="B716" s="17"/>
      <c r="C716" s="17"/>
      <c r="D716" s="17"/>
      <c r="E716" s="17"/>
      <c r="F716" s="17"/>
    </row>
    <row r="717" spans="1:6" ht="13.5" customHeight="1" x14ac:dyDescent="0.35">
      <c r="A717" s="17"/>
      <c r="B717" s="17"/>
      <c r="C717" s="17"/>
      <c r="D717" s="17"/>
      <c r="E717" s="17"/>
      <c r="F717" s="17"/>
    </row>
    <row r="718" spans="1:6" ht="13.5" customHeight="1" x14ac:dyDescent="0.35">
      <c r="A718" s="17"/>
      <c r="B718" s="17"/>
      <c r="C718" s="17"/>
      <c r="D718" s="17"/>
      <c r="E718" s="17"/>
      <c r="F718" s="17"/>
    </row>
    <row r="719" spans="1:6" ht="13.5" customHeight="1" x14ac:dyDescent="0.35">
      <c r="A719" s="17"/>
      <c r="B719" s="17"/>
      <c r="C719" s="17"/>
      <c r="D719" s="17"/>
      <c r="E719" s="17"/>
      <c r="F719" s="17"/>
    </row>
    <row r="720" spans="1:6" ht="13.5" customHeight="1" x14ac:dyDescent="0.35">
      <c r="A720" s="17"/>
      <c r="B720" s="17"/>
      <c r="C720" s="17"/>
      <c r="D720" s="17"/>
      <c r="E720" s="17"/>
      <c r="F720" s="17"/>
    </row>
    <row r="721" spans="1:6" ht="13.5" customHeight="1" x14ac:dyDescent="0.35">
      <c r="A721" s="17"/>
      <c r="B721" s="17"/>
      <c r="C721" s="17"/>
      <c r="D721" s="17"/>
      <c r="E721" s="17"/>
      <c r="F721" s="17"/>
    </row>
    <row r="722" spans="1:6" ht="13.5" customHeight="1" x14ac:dyDescent="0.35">
      <c r="A722" s="17"/>
      <c r="B722" s="17"/>
      <c r="C722" s="17"/>
      <c r="D722" s="17"/>
      <c r="E722" s="17"/>
      <c r="F722" s="17"/>
    </row>
    <row r="723" spans="1:6" ht="13.5" customHeight="1" x14ac:dyDescent="0.35">
      <c r="A723" s="17"/>
      <c r="B723" s="17"/>
      <c r="C723" s="17"/>
      <c r="D723" s="17"/>
      <c r="E723" s="17"/>
      <c r="F723" s="17"/>
    </row>
    <row r="724" spans="1:6" ht="13.5" customHeight="1" x14ac:dyDescent="0.35">
      <c r="A724" s="17"/>
      <c r="B724" s="17"/>
      <c r="C724" s="17"/>
      <c r="D724" s="17"/>
      <c r="E724" s="17"/>
      <c r="F724" s="17"/>
    </row>
    <row r="725" spans="1:6" ht="13.5" customHeight="1" x14ac:dyDescent="0.35">
      <c r="A725" s="17"/>
      <c r="B725" s="17"/>
      <c r="C725" s="17"/>
      <c r="D725" s="17"/>
      <c r="E725" s="17"/>
      <c r="F725" s="17"/>
    </row>
    <row r="726" spans="1:6" ht="13.5" customHeight="1" x14ac:dyDescent="0.35">
      <c r="A726" s="17"/>
      <c r="B726" s="17"/>
      <c r="C726" s="17"/>
      <c r="D726" s="17"/>
      <c r="E726" s="17"/>
      <c r="F726" s="17"/>
    </row>
    <row r="727" spans="1:6" ht="13.5" customHeight="1" x14ac:dyDescent="0.35">
      <c r="A727" s="17"/>
      <c r="B727" s="17"/>
      <c r="C727" s="17"/>
      <c r="D727" s="17"/>
      <c r="E727" s="17"/>
      <c r="F727" s="17"/>
    </row>
    <row r="728" spans="1:6" ht="13.5" customHeight="1" x14ac:dyDescent="0.35">
      <c r="A728" s="17"/>
      <c r="B728" s="17"/>
      <c r="C728" s="17"/>
      <c r="D728" s="17"/>
      <c r="E728" s="17"/>
      <c r="F728" s="17"/>
    </row>
    <row r="729" spans="1:6" ht="13.5" customHeight="1" x14ac:dyDescent="0.35">
      <c r="A729" s="17"/>
      <c r="B729" s="17"/>
      <c r="C729" s="17"/>
      <c r="D729" s="17"/>
      <c r="E729" s="17"/>
      <c r="F729" s="17"/>
    </row>
    <row r="730" spans="1:6" ht="13.5" customHeight="1" x14ac:dyDescent="0.35">
      <c r="A730" s="17"/>
      <c r="B730" s="17"/>
      <c r="C730" s="17"/>
      <c r="D730" s="17"/>
      <c r="E730" s="17"/>
      <c r="F730" s="17"/>
    </row>
    <row r="731" spans="1:6" ht="13.5" customHeight="1" x14ac:dyDescent="0.35">
      <c r="A731" s="17"/>
      <c r="B731" s="17"/>
      <c r="C731" s="17"/>
      <c r="D731" s="17"/>
      <c r="E731" s="17"/>
      <c r="F731" s="17"/>
    </row>
    <row r="732" spans="1:6" ht="13.5" customHeight="1" x14ac:dyDescent="0.35">
      <c r="A732" s="17"/>
      <c r="B732" s="17"/>
      <c r="C732" s="17"/>
      <c r="D732" s="17"/>
      <c r="E732" s="17"/>
      <c r="F732" s="17"/>
    </row>
    <row r="733" spans="1:6" ht="13.5" customHeight="1" x14ac:dyDescent="0.35">
      <c r="A733" s="17"/>
      <c r="B733" s="17"/>
      <c r="C733" s="17"/>
      <c r="D733" s="17"/>
      <c r="E733" s="17"/>
      <c r="F733" s="17"/>
    </row>
    <row r="734" spans="1:6" ht="13.5" customHeight="1" x14ac:dyDescent="0.35">
      <c r="A734" s="17"/>
      <c r="B734" s="17"/>
      <c r="C734" s="17"/>
      <c r="D734" s="17"/>
      <c r="E734" s="17"/>
      <c r="F734" s="17"/>
    </row>
    <row r="735" spans="1:6" ht="13.5" customHeight="1" x14ac:dyDescent="0.35">
      <c r="A735" s="17"/>
      <c r="B735" s="17"/>
      <c r="C735" s="17"/>
      <c r="D735" s="17"/>
      <c r="E735" s="17"/>
      <c r="F735" s="17"/>
    </row>
    <row r="736" spans="1:6" ht="13.5" customHeight="1" x14ac:dyDescent="0.35">
      <c r="A736" s="17"/>
      <c r="B736" s="17"/>
      <c r="C736" s="17"/>
      <c r="D736" s="17"/>
      <c r="E736" s="17"/>
      <c r="F736" s="17"/>
    </row>
    <row r="737" spans="1:6" ht="13.5" customHeight="1" x14ac:dyDescent="0.35">
      <c r="A737" s="17"/>
      <c r="B737" s="17"/>
      <c r="C737" s="17"/>
      <c r="D737" s="17"/>
      <c r="E737" s="17"/>
      <c r="F737" s="17"/>
    </row>
    <row r="738" spans="1:6" ht="13.5" customHeight="1" x14ac:dyDescent="0.35">
      <c r="A738" s="17"/>
      <c r="B738" s="17"/>
      <c r="C738" s="17"/>
      <c r="D738" s="17"/>
      <c r="E738" s="17"/>
      <c r="F738" s="17"/>
    </row>
    <row r="739" spans="1:6" ht="13.5" customHeight="1" x14ac:dyDescent="0.35">
      <c r="A739" s="17"/>
      <c r="B739" s="17"/>
      <c r="C739" s="17"/>
      <c r="D739" s="17"/>
      <c r="E739" s="17"/>
      <c r="F739" s="17"/>
    </row>
    <row r="740" spans="1:6" ht="13.5" customHeight="1" x14ac:dyDescent="0.35">
      <c r="A740" s="17"/>
      <c r="B740" s="17"/>
      <c r="C740" s="17"/>
      <c r="D740" s="17"/>
      <c r="E740" s="17"/>
      <c r="F740" s="17"/>
    </row>
    <row r="741" spans="1:6" ht="13.5" customHeight="1" x14ac:dyDescent="0.35">
      <c r="A741" s="17"/>
      <c r="B741" s="17"/>
      <c r="C741" s="17"/>
      <c r="D741" s="17"/>
      <c r="E741" s="17"/>
      <c r="F741" s="17"/>
    </row>
    <row r="742" spans="1:6" ht="13.5" customHeight="1" x14ac:dyDescent="0.35">
      <c r="A742" s="17"/>
      <c r="B742" s="17"/>
      <c r="C742" s="17"/>
      <c r="D742" s="17"/>
      <c r="E742" s="17"/>
      <c r="F742" s="17"/>
    </row>
    <row r="743" spans="1:6" ht="13.5" customHeight="1" x14ac:dyDescent="0.35">
      <c r="A743" s="17"/>
      <c r="B743" s="17"/>
      <c r="C743" s="17"/>
      <c r="D743" s="17"/>
      <c r="E743" s="17"/>
      <c r="F743" s="17"/>
    </row>
    <row r="744" spans="1:6" ht="13.5" customHeight="1" x14ac:dyDescent="0.35">
      <c r="A744" s="17"/>
      <c r="B744" s="17"/>
      <c r="C744" s="17"/>
      <c r="D744" s="17"/>
      <c r="E744" s="17"/>
      <c r="F744" s="17"/>
    </row>
    <row r="745" spans="1:6" ht="13.5" customHeight="1" x14ac:dyDescent="0.35">
      <c r="A745" s="17"/>
      <c r="B745" s="17"/>
      <c r="C745" s="17"/>
      <c r="D745" s="17"/>
      <c r="E745" s="17"/>
      <c r="F745" s="17"/>
    </row>
    <row r="746" spans="1:6" ht="13.5" customHeight="1" x14ac:dyDescent="0.35">
      <c r="A746" s="17"/>
      <c r="B746" s="17"/>
      <c r="C746" s="17"/>
      <c r="D746" s="17"/>
      <c r="E746" s="17"/>
      <c r="F746" s="17"/>
    </row>
    <row r="747" spans="1:6" ht="13.5" customHeight="1" x14ac:dyDescent="0.35">
      <c r="A747" s="17"/>
      <c r="B747" s="17"/>
      <c r="C747" s="17"/>
      <c r="D747" s="17"/>
      <c r="E747" s="17"/>
      <c r="F747" s="17"/>
    </row>
    <row r="748" spans="1:6" ht="13.5" customHeight="1" x14ac:dyDescent="0.35">
      <c r="A748" s="17"/>
      <c r="B748" s="17"/>
      <c r="C748" s="17"/>
      <c r="D748" s="17"/>
      <c r="E748" s="17"/>
      <c r="F748" s="17"/>
    </row>
    <row r="749" spans="1:6" ht="13.5" customHeight="1" x14ac:dyDescent="0.35">
      <c r="A749" s="17"/>
      <c r="B749" s="17"/>
      <c r="C749" s="17"/>
      <c r="D749" s="17"/>
      <c r="E749" s="17"/>
      <c r="F749" s="17"/>
    </row>
    <row r="750" spans="1:6" ht="13.5" customHeight="1" x14ac:dyDescent="0.35">
      <c r="A750" s="17"/>
      <c r="B750" s="17"/>
      <c r="C750" s="17"/>
      <c r="D750" s="17"/>
      <c r="E750" s="17"/>
      <c r="F750" s="17"/>
    </row>
    <row r="751" spans="1:6" ht="13.5" customHeight="1" x14ac:dyDescent="0.35">
      <c r="A751" s="17"/>
      <c r="B751" s="17"/>
      <c r="C751" s="17"/>
      <c r="D751" s="17"/>
      <c r="E751" s="17"/>
      <c r="F751" s="17"/>
    </row>
    <row r="752" spans="1:6" ht="13.5" customHeight="1" x14ac:dyDescent="0.35">
      <c r="A752" s="17"/>
      <c r="B752" s="17"/>
      <c r="C752" s="17"/>
      <c r="D752" s="17"/>
      <c r="E752" s="17"/>
      <c r="F752" s="17"/>
    </row>
    <row r="753" spans="1:6" ht="13.5" customHeight="1" x14ac:dyDescent="0.35">
      <c r="A753" s="17"/>
      <c r="B753" s="17"/>
      <c r="C753" s="17"/>
      <c r="D753" s="17"/>
      <c r="E753" s="17"/>
      <c r="F753" s="17"/>
    </row>
    <row r="754" spans="1:6" ht="13.5" customHeight="1" x14ac:dyDescent="0.35">
      <c r="A754" s="17"/>
      <c r="B754" s="17"/>
      <c r="C754" s="17"/>
      <c r="D754" s="17"/>
      <c r="E754" s="17"/>
      <c r="F754" s="17"/>
    </row>
    <row r="755" spans="1:6" ht="13.5" customHeight="1" x14ac:dyDescent="0.35">
      <c r="A755" s="17"/>
      <c r="B755" s="17"/>
      <c r="C755" s="17"/>
      <c r="D755" s="17"/>
      <c r="E755" s="17"/>
      <c r="F755" s="17"/>
    </row>
    <row r="756" spans="1:6" ht="13.5" customHeight="1" x14ac:dyDescent="0.35">
      <c r="A756" s="17"/>
      <c r="B756" s="17"/>
      <c r="C756" s="17"/>
      <c r="D756" s="17"/>
      <c r="E756" s="17"/>
      <c r="F756" s="17"/>
    </row>
    <row r="757" spans="1:6" ht="13.5" customHeight="1" x14ac:dyDescent="0.35">
      <c r="A757" s="17"/>
      <c r="B757" s="17"/>
      <c r="C757" s="17"/>
      <c r="D757" s="17"/>
      <c r="E757" s="17"/>
      <c r="F757" s="17"/>
    </row>
    <row r="758" spans="1:6" ht="13.5" customHeight="1" x14ac:dyDescent="0.35">
      <c r="A758" s="17"/>
      <c r="B758" s="17"/>
      <c r="C758" s="17"/>
      <c r="D758" s="17"/>
      <c r="E758" s="17"/>
      <c r="F758" s="17"/>
    </row>
    <row r="759" spans="1:6" ht="13.5" customHeight="1" x14ac:dyDescent="0.35">
      <c r="A759" s="17"/>
      <c r="B759" s="17"/>
      <c r="C759" s="17"/>
      <c r="D759" s="17"/>
      <c r="E759" s="17"/>
      <c r="F759" s="17"/>
    </row>
    <row r="760" spans="1:6" ht="13.5" customHeight="1" x14ac:dyDescent="0.35">
      <c r="A760" s="17"/>
      <c r="B760" s="17"/>
      <c r="C760" s="17"/>
      <c r="D760" s="17"/>
      <c r="E760" s="17"/>
      <c r="F760" s="17"/>
    </row>
    <row r="761" spans="1:6" ht="13.5" customHeight="1" x14ac:dyDescent="0.35">
      <c r="A761" s="17"/>
      <c r="B761" s="17"/>
      <c r="C761" s="17"/>
      <c r="D761" s="17"/>
      <c r="E761" s="17"/>
      <c r="F761" s="17"/>
    </row>
    <row r="762" spans="1:6" ht="13.5" customHeight="1" x14ac:dyDescent="0.35">
      <c r="A762" s="17"/>
      <c r="B762" s="17"/>
      <c r="C762" s="17"/>
      <c r="D762" s="17"/>
      <c r="E762" s="17"/>
      <c r="F762" s="17"/>
    </row>
    <row r="763" spans="1:6" ht="13.5" customHeight="1" x14ac:dyDescent="0.35">
      <c r="A763" s="17"/>
      <c r="B763" s="17"/>
      <c r="C763" s="17"/>
      <c r="D763" s="17"/>
      <c r="E763" s="17"/>
      <c r="F763" s="17"/>
    </row>
    <row r="764" spans="1:6" ht="13.5" customHeight="1" x14ac:dyDescent="0.35">
      <c r="A764" s="17"/>
      <c r="B764" s="17"/>
      <c r="C764" s="17"/>
      <c r="D764" s="17"/>
      <c r="E764" s="17"/>
      <c r="F764" s="17"/>
    </row>
    <row r="765" spans="1:6" ht="13.5" customHeight="1" x14ac:dyDescent="0.35">
      <c r="A765" s="17"/>
      <c r="B765" s="17"/>
      <c r="C765" s="17"/>
      <c r="D765" s="17"/>
      <c r="E765" s="17"/>
      <c r="F765" s="17"/>
    </row>
    <row r="766" spans="1:6" ht="13.5" customHeight="1" x14ac:dyDescent="0.35">
      <c r="A766" s="17"/>
      <c r="B766" s="17"/>
      <c r="C766" s="17"/>
      <c r="D766" s="17"/>
      <c r="E766" s="17"/>
      <c r="F766" s="17"/>
    </row>
    <row r="767" spans="1:6" ht="13.5" customHeight="1" x14ac:dyDescent="0.35">
      <c r="A767" s="17"/>
      <c r="B767" s="17"/>
      <c r="C767" s="17"/>
      <c r="D767" s="17"/>
      <c r="E767" s="17"/>
      <c r="F767" s="17"/>
    </row>
    <row r="768" spans="1:6" ht="13.5" customHeight="1" x14ac:dyDescent="0.35">
      <c r="A768" s="17"/>
      <c r="B768" s="17"/>
      <c r="C768" s="17"/>
      <c r="D768" s="17"/>
      <c r="E768" s="17"/>
      <c r="F768" s="17"/>
    </row>
    <row r="769" spans="1:6" ht="13.5" customHeight="1" x14ac:dyDescent="0.35">
      <c r="A769" s="17"/>
      <c r="B769" s="17"/>
      <c r="C769" s="17"/>
      <c r="D769" s="17"/>
      <c r="E769" s="17"/>
      <c r="F769" s="17"/>
    </row>
    <row r="770" spans="1:6" ht="13.5" customHeight="1" x14ac:dyDescent="0.35">
      <c r="A770" s="17"/>
      <c r="B770" s="17"/>
      <c r="C770" s="17"/>
      <c r="D770" s="17"/>
      <c r="E770" s="17"/>
      <c r="F770" s="17"/>
    </row>
    <row r="771" spans="1:6" ht="13.5" customHeight="1" x14ac:dyDescent="0.35">
      <c r="A771" s="17"/>
      <c r="B771" s="17"/>
      <c r="C771" s="17"/>
      <c r="D771" s="17"/>
      <c r="E771" s="17"/>
      <c r="F771" s="17"/>
    </row>
    <row r="772" spans="1:6" ht="13.5" customHeight="1" x14ac:dyDescent="0.35">
      <c r="A772" s="17"/>
      <c r="B772" s="17"/>
      <c r="C772" s="17"/>
      <c r="D772" s="17"/>
      <c r="E772" s="17"/>
      <c r="F772" s="17"/>
    </row>
    <row r="773" spans="1:6" ht="13.5" customHeight="1" x14ac:dyDescent="0.35">
      <c r="A773" s="17"/>
      <c r="B773" s="17"/>
      <c r="C773" s="17"/>
      <c r="D773" s="17"/>
      <c r="E773" s="17"/>
      <c r="F773" s="17"/>
    </row>
    <row r="774" spans="1:6" ht="13.5" customHeight="1" x14ac:dyDescent="0.35">
      <c r="A774" s="17"/>
      <c r="B774" s="17"/>
      <c r="C774" s="17"/>
      <c r="D774" s="17"/>
      <c r="E774" s="17"/>
      <c r="F774" s="17"/>
    </row>
    <row r="775" spans="1:6" ht="13.5" customHeight="1" x14ac:dyDescent="0.35">
      <c r="A775" s="17"/>
      <c r="B775" s="17"/>
      <c r="C775" s="17"/>
      <c r="D775" s="17"/>
      <c r="E775" s="17"/>
      <c r="F775" s="17"/>
    </row>
    <row r="776" spans="1:6" ht="13.5" customHeight="1" x14ac:dyDescent="0.35">
      <c r="A776" s="17"/>
      <c r="B776" s="17"/>
      <c r="C776" s="17"/>
      <c r="D776" s="17"/>
      <c r="E776" s="17"/>
      <c r="F776" s="17"/>
    </row>
    <row r="777" spans="1:6" ht="13.5" customHeight="1" x14ac:dyDescent="0.35">
      <c r="A777" s="17"/>
      <c r="B777" s="17"/>
      <c r="C777" s="17"/>
      <c r="D777" s="17"/>
      <c r="E777" s="17"/>
      <c r="F777" s="17"/>
    </row>
    <row r="778" spans="1:6" ht="13.5" customHeight="1" x14ac:dyDescent="0.35">
      <c r="A778" s="17"/>
      <c r="B778" s="17"/>
      <c r="C778" s="17"/>
      <c r="D778" s="17"/>
      <c r="E778" s="17"/>
      <c r="F778" s="17"/>
    </row>
    <row r="779" spans="1:6" ht="13.5" customHeight="1" x14ac:dyDescent="0.35">
      <c r="A779" s="17"/>
      <c r="B779" s="17"/>
      <c r="C779" s="17"/>
      <c r="D779" s="17"/>
      <c r="E779" s="17"/>
      <c r="F779" s="17"/>
    </row>
    <row r="780" spans="1:6" ht="13.5" customHeight="1" x14ac:dyDescent="0.35">
      <c r="A780" s="17"/>
      <c r="B780" s="17"/>
      <c r="C780" s="17"/>
      <c r="D780" s="17"/>
      <c r="E780" s="17"/>
      <c r="F780" s="17"/>
    </row>
    <row r="781" spans="1:6" ht="13.5" customHeight="1" x14ac:dyDescent="0.35">
      <c r="A781" s="17"/>
      <c r="B781" s="17"/>
      <c r="C781" s="17"/>
      <c r="D781" s="17"/>
      <c r="E781" s="17"/>
      <c r="F781" s="17"/>
    </row>
    <row r="782" spans="1:6" ht="13.5" customHeight="1" x14ac:dyDescent="0.35">
      <c r="A782" s="17"/>
      <c r="B782" s="17"/>
      <c r="C782" s="17"/>
      <c r="D782" s="17"/>
      <c r="E782" s="17"/>
      <c r="F782" s="17"/>
    </row>
    <row r="783" spans="1:6" ht="13.5" customHeight="1" x14ac:dyDescent="0.35">
      <c r="A783" s="17"/>
      <c r="B783" s="17"/>
      <c r="C783" s="17"/>
      <c r="D783" s="17"/>
      <c r="E783" s="17"/>
      <c r="F783" s="17"/>
    </row>
    <row r="784" spans="1:6" ht="13.5" customHeight="1" x14ac:dyDescent="0.35">
      <c r="A784" s="17"/>
      <c r="B784" s="17"/>
      <c r="C784" s="17"/>
      <c r="D784" s="17"/>
      <c r="E784" s="17"/>
      <c r="F784" s="17"/>
    </row>
    <row r="785" spans="1:6" ht="13.5" customHeight="1" x14ac:dyDescent="0.35">
      <c r="A785" s="17"/>
      <c r="B785" s="17"/>
      <c r="C785" s="17"/>
      <c r="D785" s="17"/>
      <c r="E785" s="17"/>
      <c r="F785" s="17"/>
    </row>
    <row r="786" spans="1:6" ht="13.5" customHeight="1" x14ac:dyDescent="0.35">
      <c r="A786" s="17"/>
      <c r="B786" s="17"/>
      <c r="C786" s="17"/>
      <c r="D786" s="17"/>
      <c r="E786" s="17"/>
      <c r="F786" s="17"/>
    </row>
    <row r="787" spans="1:6" ht="13.5" customHeight="1" x14ac:dyDescent="0.35">
      <c r="A787" s="17"/>
      <c r="B787" s="17"/>
      <c r="C787" s="17"/>
      <c r="D787" s="17"/>
      <c r="E787" s="17"/>
      <c r="F787" s="17"/>
    </row>
    <row r="788" spans="1:6" ht="13.5" customHeight="1" x14ac:dyDescent="0.35">
      <c r="A788" s="17"/>
      <c r="B788" s="17"/>
      <c r="C788" s="17"/>
      <c r="D788" s="17"/>
      <c r="E788" s="17"/>
      <c r="F788" s="17"/>
    </row>
    <row r="789" spans="1:6" ht="13.5" customHeight="1" x14ac:dyDescent="0.35">
      <c r="A789" s="17"/>
      <c r="B789" s="17"/>
      <c r="C789" s="17"/>
      <c r="D789" s="17"/>
      <c r="E789" s="17"/>
      <c r="F789" s="17"/>
    </row>
    <row r="790" spans="1:6" ht="13.5" customHeight="1" x14ac:dyDescent="0.35">
      <c r="A790" s="17"/>
      <c r="B790" s="17"/>
      <c r="C790" s="17"/>
      <c r="D790" s="17"/>
      <c r="E790" s="17"/>
      <c r="F790" s="17"/>
    </row>
    <row r="791" spans="1:6" ht="13.5" customHeight="1" x14ac:dyDescent="0.35">
      <c r="A791" s="17"/>
      <c r="B791" s="17"/>
      <c r="C791" s="17"/>
      <c r="D791" s="17"/>
      <c r="E791" s="17"/>
      <c r="F791" s="17"/>
    </row>
    <row r="792" spans="1:6" ht="13.5" customHeight="1" x14ac:dyDescent="0.35">
      <c r="A792" s="17"/>
      <c r="B792" s="17"/>
      <c r="C792" s="17"/>
      <c r="D792" s="17"/>
      <c r="E792" s="17"/>
      <c r="F792" s="17"/>
    </row>
    <row r="793" spans="1:6" ht="13.5" customHeight="1" x14ac:dyDescent="0.35">
      <c r="A793" s="17"/>
      <c r="B793" s="17"/>
      <c r="C793" s="17"/>
      <c r="D793" s="17"/>
      <c r="E793" s="17"/>
      <c r="F793" s="17"/>
    </row>
    <row r="794" spans="1:6" ht="13.5" customHeight="1" x14ac:dyDescent="0.35">
      <c r="A794" s="17"/>
      <c r="B794" s="17"/>
      <c r="C794" s="17"/>
      <c r="D794" s="17"/>
      <c r="E794" s="17"/>
      <c r="F794" s="17"/>
    </row>
    <row r="795" spans="1:6" ht="13.5" customHeight="1" x14ac:dyDescent="0.35">
      <c r="A795" s="17"/>
      <c r="B795" s="17"/>
      <c r="C795" s="17"/>
      <c r="D795" s="17"/>
      <c r="E795" s="17"/>
      <c r="F795" s="17"/>
    </row>
    <row r="796" spans="1:6" ht="13.5" customHeight="1" x14ac:dyDescent="0.35">
      <c r="A796" s="17"/>
      <c r="B796" s="17"/>
      <c r="C796" s="17"/>
      <c r="D796" s="17"/>
      <c r="E796" s="17"/>
      <c r="F796" s="17"/>
    </row>
    <row r="797" spans="1:6" ht="13.5" customHeight="1" x14ac:dyDescent="0.35">
      <c r="A797" s="17"/>
      <c r="B797" s="17"/>
      <c r="C797" s="17"/>
      <c r="D797" s="17"/>
      <c r="E797" s="17"/>
      <c r="F797" s="17"/>
    </row>
    <row r="798" spans="1:6" ht="13.5" customHeight="1" x14ac:dyDescent="0.35">
      <c r="A798" s="17"/>
      <c r="B798" s="17"/>
      <c r="C798" s="17"/>
      <c r="D798" s="17"/>
      <c r="E798" s="17"/>
      <c r="F798" s="17"/>
    </row>
    <row r="799" spans="1:6" ht="13.5" customHeight="1" x14ac:dyDescent="0.35">
      <c r="A799" s="17"/>
      <c r="B799" s="17"/>
      <c r="C799" s="17"/>
      <c r="D799" s="17"/>
      <c r="E799" s="17"/>
      <c r="F799" s="17"/>
    </row>
    <row r="800" spans="1:6" ht="13.5" customHeight="1" x14ac:dyDescent="0.35">
      <c r="A800" s="17"/>
      <c r="B800" s="17"/>
      <c r="C800" s="17"/>
      <c r="D800" s="17"/>
      <c r="E800" s="17"/>
      <c r="F800" s="17"/>
    </row>
    <row r="801" spans="1:6" ht="13.5" customHeight="1" x14ac:dyDescent="0.35">
      <c r="A801" s="17"/>
      <c r="B801" s="17"/>
      <c r="C801" s="17"/>
      <c r="D801" s="17"/>
      <c r="E801" s="17"/>
      <c r="F801" s="17"/>
    </row>
    <row r="802" spans="1:6" ht="13.5" customHeight="1" x14ac:dyDescent="0.35">
      <c r="A802" s="17"/>
      <c r="B802" s="17"/>
      <c r="C802" s="17"/>
      <c r="D802" s="17"/>
      <c r="E802" s="17"/>
      <c r="F802" s="17"/>
    </row>
    <row r="803" spans="1:6" ht="13.5" customHeight="1" x14ac:dyDescent="0.35">
      <c r="A803" s="17"/>
      <c r="B803" s="17"/>
      <c r="C803" s="17"/>
      <c r="D803" s="17"/>
      <c r="E803" s="17"/>
      <c r="F803" s="17"/>
    </row>
    <row r="804" spans="1:6" ht="13.5" customHeight="1" x14ac:dyDescent="0.35">
      <c r="A804" s="17"/>
      <c r="B804" s="17"/>
      <c r="C804" s="17"/>
      <c r="D804" s="17"/>
      <c r="E804" s="17"/>
      <c r="F804" s="17"/>
    </row>
    <row r="805" spans="1:6" ht="13.5" customHeight="1" x14ac:dyDescent="0.35">
      <c r="A805" s="17"/>
      <c r="B805" s="17"/>
      <c r="C805" s="17"/>
      <c r="D805" s="17"/>
      <c r="E805" s="17"/>
      <c r="F805" s="17"/>
    </row>
    <row r="806" spans="1:6" ht="13.5" customHeight="1" x14ac:dyDescent="0.35">
      <c r="A806" s="17"/>
      <c r="B806" s="17"/>
      <c r="C806" s="17"/>
      <c r="D806" s="17"/>
      <c r="E806" s="17"/>
      <c r="F806" s="17"/>
    </row>
    <row r="807" spans="1:6" ht="13.5" customHeight="1" x14ac:dyDescent="0.35">
      <c r="A807" s="17"/>
      <c r="B807" s="17"/>
      <c r="C807" s="17"/>
      <c r="D807" s="17"/>
      <c r="E807" s="17"/>
      <c r="F807" s="17"/>
    </row>
    <row r="808" spans="1:6" ht="13.5" customHeight="1" x14ac:dyDescent="0.35">
      <c r="A808" s="17"/>
      <c r="B808" s="17"/>
      <c r="C808" s="17"/>
      <c r="D808" s="17"/>
      <c r="E808" s="17"/>
      <c r="F808" s="17"/>
    </row>
    <row r="809" spans="1:6" ht="13.5" customHeight="1" x14ac:dyDescent="0.35">
      <c r="A809" s="17"/>
      <c r="B809" s="17"/>
      <c r="C809" s="17"/>
      <c r="D809" s="17"/>
      <c r="E809" s="17"/>
      <c r="F809" s="17"/>
    </row>
    <row r="810" spans="1:6" ht="13.5" customHeight="1" x14ac:dyDescent="0.35">
      <c r="A810" s="17"/>
      <c r="B810" s="17"/>
      <c r="C810" s="17"/>
      <c r="D810" s="17"/>
      <c r="E810" s="17"/>
      <c r="F810" s="17"/>
    </row>
    <row r="811" spans="1:6" ht="13.5" customHeight="1" x14ac:dyDescent="0.35">
      <c r="A811" s="17"/>
      <c r="B811" s="17"/>
      <c r="C811" s="17"/>
      <c r="D811" s="17"/>
      <c r="E811" s="17"/>
      <c r="F811" s="17"/>
    </row>
    <row r="812" spans="1:6" ht="13.5" customHeight="1" x14ac:dyDescent="0.35">
      <c r="A812" s="17"/>
      <c r="B812" s="17"/>
      <c r="C812" s="17"/>
      <c r="D812" s="17"/>
      <c r="E812" s="17"/>
      <c r="F812" s="17"/>
    </row>
    <row r="813" spans="1:6" ht="13.5" customHeight="1" x14ac:dyDescent="0.35">
      <c r="A813" s="17"/>
      <c r="B813" s="17"/>
      <c r="C813" s="17"/>
      <c r="D813" s="17"/>
      <c r="E813" s="17"/>
      <c r="F813" s="17"/>
    </row>
    <row r="814" spans="1:6" ht="13.5" customHeight="1" x14ac:dyDescent="0.35">
      <c r="A814" s="17"/>
      <c r="B814" s="17"/>
      <c r="C814" s="17"/>
      <c r="D814" s="17"/>
      <c r="E814" s="17"/>
      <c r="F814" s="17"/>
    </row>
    <row r="815" spans="1:6" ht="13.5" customHeight="1" x14ac:dyDescent="0.35">
      <c r="A815" s="17"/>
      <c r="B815" s="17"/>
      <c r="C815" s="17"/>
      <c r="D815" s="17"/>
      <c r="E815" s="17"/>
      <c r="F815" s="17"/>
    </row>
    <row r="816" spans="1:6" ht="13.5" customHeight="1" x14ac:dyDescent="0.35">
      <c r="A816" s="17"/>
      <c r="B816" s="17"/>
      <c r="C816" s="17"/>
      <c r="D816" s="17"/>
      <c r="E816" s="17"/>
      <c r="F816" s="17"/>
    </row>
    <row r="817" spans="1:6" ht="13.5" customHeight="1" x14ac:dyDescent="0.35">
      <c r="A817" s="17"/>
      <c r="B817" s="17"/>
      <c r="C817" s="17"/>
      <c r="D817" s="17"/>
      <c r="E817" s="17"/>
      <c r="F817" s="17"/>
    </row>
    <row r="818" spans="1:6" ht="13.5" customHeight="1" x14ac:dyDescent="0.35">
      <c r="A818" s="17"/>
      <c r="B818" s="17"/>
      <c r="C818" s="17"/>
      <c r="D818" s="17"/>
      <c r="E818" s="17"/>
      <c r="F818" s="17"/>
    </row>
    <row r="819" spans="1:6" ht="13.5" customHeight="1" x14ac:dyDescent="0.35">
      <c r="A819" s="17"/>
      <c r="B819" s="17"/>
      <c r="C819" s="17"/>
      <c r="D819" s="17"/>
      <c r="E819" s="17"/>
      <c r="F819" s="17"/>
    </row>
    <row r="820" spans="1:6" ht="13.5" customHeight="1" x14ac:dyDescent="0.35">
      <c r="A820" s="17"/>
      <c r="B820" s="17"/>
      <c r="C820" s="17"/>
      <c r="D820" s="17"/>
      <c r="E820" s="17"/>
      <c r="F820" s="17"/>
    </row>
    <row r="821" spans="1:6" ht="13.5" customHeight="1" x14ac:dyDescent="0.35">
      <c r="A821" s="17"/>
      <c r="B821" s="17"/>
      <c r="C821" s="17"/>
      <c r="D821" s="17"/>
      <c r="E821" s="17"/>
      <c r="F821" s="17"/>
    </row>
    <row r="822" spans="1:6" ht="13.5" customHeight="1" x14ac:dyDescent="0.35">
      <c r="A822" s="17"/>
      <c r="B822" s="17"/>
      <c r="C822" s="17"/>
      <c r="D822" s="17"/>
      <c r="E822" s="17"/>
      <c r="F822" s="17"/>
    </row>
    <row r="823" spans="1:6" ht="13.5" customHeight="1" x14ac:dyDescent="0.35">
      <c r="A823" s="17"/>
      <c r="B823" s="17"/>
      <c r="C823" s="17"/>
      <c r="D823" s="17"/>
      <c r="E823" s="17"/>
      <c r="F823" s="17"/>
    </row>
    <row r="824" spans="1:6" ht="13.5" customHeight="1" x14ac:dyDescent="0.35">
      <c r="A824" s="17"/>
      <c r="B824" s="17"/>
      <c r="C824" s="17"/>
      <c r="D824" s="17"/>
      <c r="E824" s="17"/>
      <c r="F824" s="17"/>
    </row>
    <row r="825" spans="1:6" ht="13.5" customHeight="1" x14ac:dyDescent="0.35">
      <c r="A825" s="17"/>
      <c r="B825" s="17"/>
      <c r="C825" s="17"/>
      <c r="D825" s="17"/>
      <c r="E825" s="17"/>
      <c r="F825" s="17"/>
    </row>
    <row r="826" spans="1:6" ht="13.5" customHeight="1" x14ac:dyDescent="0.35">
      <c r="A826" s="17"/>
      <c r="B826" s="17"/>
      <c r="C826" s="17"/>
      <c r="D826" s="17"/>
      <c r="E826" s="17"/>
      <c r="F826" s="17"/>
    </row>
    <row r="827" spans="1:6" ht="13.5" customHeight="1" x14ac:dyDescent="0.35">
      <c r="A827" s="17"/>
      <c r="B827" s="17"/>
      <c r="C827" s="17"/>
      <c r="D827" s="17"/>
      <c r="E827" s="17"/>
      <c r="F827" s="17"/>
    </row>
    <row r="828" spans="1:6" ht="13.5" customHeight="1" x14ac:dyDescent="0.35">
      <c r="A828" s="17"/>
      <c r="B828" s="17"/>
      <c r="C828" s="17"/>
      <c r="D828" s="17"/>
      <c r="E828" s="17"/>
      <c r="F828" s="17"/>
    </row>
    <row r="829" spans="1:6" ht="13.5" customHeight="1" x14ac:dyDescent="0.35">
      <c r="A829" s="17"/>
      <c r="B829" s="17"/>
      <c r="C829" s="17"/>
      <c r="D829" s="17"/>
      <c r="E829" s="17"/>
      <c r="F829" s="17"/>
    </row>
    <row r="830" spans="1:6" ht="13.5" customHeight="1" x14ac:dyDescent="0.35">
      <c r="A830" s="17"/>
      <c r="B830" s="17"/>
      <c r="C830" s="17"/>
      <c r="D830" s="17"/>
      <c r="E830" s="17"/>
      <c r="F830" s="17"/>
    </row>
    <row r="831" spans="1:6" ht="13.5" customHeight="1" x14ac:dyDescent="0.35">
      <c r="A831" s="17"/>
      <c r="B831" s="17"/>
      <c r="C831" s="17"/>
      <c r="D831" s="17"/>
      <c r="E831" s="17"/>
      <c r="F831" s="17"/>
    </row>
    <row r="832" spans="1:6" ht="13.5" customHeight="1" x14ac:dyDescent="0.35">
      <c r="A832" s="17"/>
      <c r="B832" s="17"/>
      <c r="C832" s="17"/>
      <c r="D832" s="17"/>
      <c r="E832" s="17"/>
      <c r="F832" s="17"/>
    </row>
    <row r="833" spans="1:6" ht="13.5" customHeight="1" x14ac:dyDescent="0.35">
      <c r="A833" s="17"/>
      <c r="B833" s="17"/>
      <c r="C833" s="17"/>
      <c r="D833" s="17"/>
      <c r="E833" s="17"/>
      <c r="F833" s="17"/>
    </row>
    <row r="834" spans="1:6" ht="13.5" customHeight="1" x14ac:dyDescent="0.35">
      <c r="A834" s="17"/>
      <c r="B834" s="17"/>
      <c r="C834" s="17"/>
      <c r="D834" s="17"/>
      <c r="E834" s="17"/>
      <c r="F834" s="17"/>
    </row>
    <row r="835" spans="1:6" ht="13.5" customHeight="1" x14ac:dyDescent="0.35">
      <c r="A835" s="17"/>
      <c r="B835" s="17"/>
      <c r="C835" s="17"/>
      <c r="D835" s="17"/>
      <c r="E835" s="17"/>
      <c r="F835" s="17"/>
    </row>
    <row r="836" spans="1:6" ht="13.5" customHeight="1" x14ac:dyDescent="0.35">
      <c r="A836" s="17"/>
      <c r="B836" s="17"/>
      <c r="C836" s="17"/>
      <c r="D836" s="17"/>
      <c r="E836" s="17"/>
      <c r="F836" s="17"/>
    </row>
    <row r="837" spans="1:6" ht="13.5" customHeight="1" x14ac:dyDescent="0.35">
      <c r="A837" s="17"/>
      <c r="B837" s="17"/>
      <c r="C837" s="17"/>
      <c r="D837" s="17"/>
      <c r="E837" s="17"/>
      <c r="F837" s="17"/>
    </row>
    <row r="838" spans="1:6" ht="13.5" customHeight="1" x14ac:dyDescent="0.35">
      <c r="A838" s="17"/>
      <c r="B838" s="17"/>
      <c r="C838" s="17"/>
      <c r="D838" s="17"/>
      <c r="E838" s="17"/>
      <c r="F838" s="17"/>
    </row>
    <row r="839" spans="1:6" ht="13.5" customHeight="1" x14ac:dyDescent="0.35">
      <c r="A839" s="17"/>
      <c r="B839" s="17"/>
      <c r="C839" s="17"/>
      <c r="D839" s="17"/>
      <c r="E839" s="17"/>
      <c r="F839" s="17"/>
    </row>
    <row r="840" spans="1:6" ht="13.5" customHeight="1" x14ac:dyDescent="0.35">
      <c r="A840" s="17"/>
      <c r="B840" s="17"/>
      <c r="C840" s="17"/>
      <c r="D840" s="17"/>
      <c r="E840" s="17"/>
      <c r="F840" s="17"/>
    </row>
    <row r="841" spans="1:6" ht="13.5" customHeight="1" x14ac:dyDescent="0.35">
      <c r="A841" s="17"/>
      <c r="B841" s="17"/>
      <c r="C841" s="17"/>
      <c r="D841" s="17"/>
      <c r="E841" s="17"/>
      <c r="F841" s="17"/>
    </row>
    <row r="842" spans="1:6" ht="13.5" customHeight="1" x14ac:dyDescent="0.35">
      <c r="A842" s="17"/>
      <c r="B842" s="17"/>
      <c r="C842" s="17"/>
      <c r="D842" s="17"/>
      <c r="E842" s="17"/>
      <c r="F842" s="17"/>
    </row>
    <row r="843" spans="1:6" ht="13.5" customHeight="1" x14ac:dyDescent="0.35">
      <c r="A843" s="17"/>
      <c r="B843" s="17"/>
      <c r="C843" s="17"/>
      <c r="D843" s="17"/>
      <c r="E843" s="17"/>
      <c r="F843" s="17"/>
    </row>
    <row r="844" spans="1:6" ht="13.5" customHeight="1" x14ac:dyDescent="0.35">
      <c r="A844" s="17"/>
      <c r="B844" s="17"/>
      <c r="C844" s="17"/>
      <c r="D844" s="17"/>
      <c r="E844" s="17"/>
      <c r="F844" s="17"/>
    </row>
    <row r="845" spans="1:6" ht="13.5" customHeight="1" x14ac:dyDescent="0.35">
      <c r="A845" s="17"/>
      <c r="B845" s="17"/>
      <c r="C845" s="17"/>
      <c r="D845" s="17"/>
      <c r="E845" s="17"/>
      <c r="F845" s="17"/>
    </row>
    <row r="846" spans="1:6" ht="13.5" customHeight="1" x14ac:dyDescent="0.35">
      <c r="A846" s="17"/>
      <c r="B846" s="17"/>
      <c r="C846" s="17"/>
      <c r="D846" s="17"/>
      <c r="E846" s="17"/>
      <c r="F846" s="17"/>
    </row>
    <row r="847" spans="1:6" ht="13.5" customHeight="1" x14ac:dyDescent="0.35">
      <c r="A847" s="17"/>
      <c r="B847" s="17"/>
      <c r="C847" s="17"/>
      <c r="D847" s="17"/>
      <c r="E847" s="17"/>
      <c r="F847" s="17"/>
    </row>
    <row r="848" spans="1:6" ht="13.5" customHeight="1" x14ac:dyDescent="0.35">
      <c r="A848" s="17"/>
      <c r="B848" s="17"/>
      <c r="C848" s="17"/>
      <c r="D848" s="17"/>
      <c r="E848" s="17"/>
      <c r="F848" s="17"/>
    </row>
    <row r="849" spans="1:6" ht="13.5" customHeight="1" x14ac:dyDescent="0.35">
      <c r="A849" s="17"/>
      <c r="B849" s="17"/>
      <c r="C849" s="17"/>
      <c r="D849" s="17"/>
      <c r="E849" s="17"/>
      <c r="F849" s="17"/>
    </row>
    <row r="850" spans="1:6" ht="13.5" customHeight="1" x14ac:dyDescent="0.35">
      <c r="A850" s="17"/>
      <c r="B850" s="17"/>
      <c r="C850" s="17"/>
      <c r="D850" s="17"/>
      <c r="E850" s="17"/>
      <c r="F850" s="17"/>
    </row>
    <row r="851" spans="1:6" ht="13.5" customHeight="1" x14ac:dyDescent="0.35">
      <c r="A851" s="17"/>
      <c r="B851" s="17"/>
      <c r="C851" s="17"/>
      <c r="D851" s="17"/>
      <c r="E851" s="17"/>
      <c r="F851" s="17"/>
    </row>
    <row r="852" spans="1:6" ht="13.5" customHeight="1" x14ac:dyDescent="0.35">
      <c r="A852" s="17"/>
      <c r="B852" s="17"/>
      <c r="C852" s="17"/>
      <c r="D852" s="17"/>
      <c r="E852" s="17"/>
      <c r="F852" s="17"/>
    </row>
    <row r="853" spans="1:6" ht="13.5" customHeight="1" x14ac:dyDescent="0.35">
      <c r="A853" s="17"/>
      <c r="B853" s="17"/>
      <c r="C853" s="17"/>
      <c r="D853" s="17"/>
      <c r="E853" s="17"/>
      <c r="F853" s="17"/>
    </row>
    <row r="854" spans="1:6" ht="13.5" customHeight="1" x14ac:dyDescent="0.35">
      <c r="A854" s="17"/>
      <c r="B854" s="17"/>
      <c r="C854" s="17"/>
      <c r="D854" s="17"/>
      <c r="E854" s="17"/>
      <c r="F854" s="17"/>
    </row>
    <row r="855" spans="1:6" ht="13.5" customHeight="1" x14ac:dyDescent="0.35">
      <c r="A855" s="17"/>
      <c r="B855" s="17"/>
      <c r="C855" s="17"/>
      <c r="D855" s="17"/>
      <c r="E855" s="17"/>
      <c r="F855" s="17"/>
    </row>
    <row r="856" spans="1:6" ht="13.5" customHeight="1" x14ac:dyDescent="0.35">
      <c r="A856" s="17"/>
      <c r="B856" s="17"/>
      <c r="C856" s="17"/>
      <c r="D856" s="17"/>
      <c r="E856" s="17"/>
      <c r="F856" s="17"/>
    </row>
    <row r="857" spans="1:6" ht="13.5" customHeight="1" x14ac:dyDescent="0.35">
      <c r="A857" s="17"/>
      <c r="B857" s="17"/>
      <c r="C857" s="17"/>
      <c r="D857" s="17"/>
      <c r="E857" s="17"/>
      <c r="F857" s="17"/>
    </row>
    <row r="858" spans="1:6" ht="13.5" customHeight="1" x14ac:dyDescent="0.35">
      <c r="A858" s="17"/>
      <c r="B858" s="17"/>
      <c r="C858" s="17"/>
      <c r="D858" s="17"/>
      <c r="E858" s="17"/>
      <c r="F858" s="17"/>
    </row>
    <row r="859" spans="1:6" ht="13.5" customHeight="1" x14ac:dyDescent="0.35">
      <c r="A859" s="17"/>
      <c r="B859" s="17"/>
      <c r="C859" s="17"/>
      <c r="D859" s="17"/>
      <c r="E859" s="17"/>
      <c r="F859" s="17"/>
    </row>
    <row r="860" spans="1:6" ht="13.5" customHeight="1" x14ac:dyDescent="0.35">
      <c r="A860" s="17"/>
      <c r="B860" s="17"/>
      <c r="C860" s="17"/>
      <c r="D860" s="17"/>
      <c r="E860" s="17"/>
      <c r="F860" s="17"/>
    </row>
    <row r="861" spans="1:6" ht="13.5" customHeight="1" x14ac:dyDescent="0.35">
      <c r="A861" s="17"/>
      <c r="B861" s="17"/>
      <c r="C861" s="17"/>
      <c r="D861" s="17"/>
      <c r="E861" s="17"/>
      <c r="F861" s="17"/>
    </row>
    <row r="862" spans="1:6" ht="13.5" customHeight="1" x14ac:dyDescent="0.35">
      <c r="A862" s="17"/>
      <c r="B862" s="17"/>
      <c r="C862" s="17"/>
      <c r="D862" s="17"/>
      <c r="E862" s="17"/>
      <c r="F862" s="17"/>
    </row>
    <row r="863" spans="1:6" ht="13.5" customHeight="1" x14ac:dyDescent="0.35">
      <c r="A863" s="17"/>
      <c r="B863" s="17"/>
      <c r="C863" s="17"/>
      <c r="D863" s="17"/>
      <c r="E863" s="17"/>
      <c r="F863" s="17"/>
    </row>
    <row r="864" spans="1:6" ht="13.5" customHeight="1" x14ac:dyDescent="0.35">
      <c r="A864" s="17"/>
      <c r="B864" s="17"/>
      <c r="C864" s="17"/>
      <c r="D864" s="17"/>
      <c r="E864" s="17"/>
      <c r="F864" s="17"/>
    </row>
    <row r="865" spans="1:6" ht="13.5" customHeight="1" x14ac:dyDescent="0.35">
      <c r="A865" s="17"/>
      <c r="B865" s="17"/>
      <c r="C865" s="17"/>
      <c r="D865" s="17"/>
      <c r="E865" s="17"/>
      <c r="F865" s="17"/>
    </row>
    <row r="866" spans="1:6" ht="13.5" customHeight="1" x14ac:dyDescent="0.35">
      <c r="A866" s="17"/>
      <c r="B866" s="17"/>
      <c r="C866" s="17"/>
      <c r="D866" s="17"/>
      <c r="E866" s="17"/>
      <c r="F866" s="17"/>
    </row>
    <row r="867" spans="1:6" ht="13.5" customHeight="1" x14ac:dyDescent="0.35">
      <c r="A867" s="17"/>
      <c r="B867" s="17"/>
      <c r="C867" s="17"/>
      <c r="D867" s="17"/>
      <c r="E867" s="17"/>
      <c r="F867" s="17"/>
    </row>
    <row r="868" spans="1:6" ht="13.5" customHeight="1" x14ac:dyDescent="0.35">
      <c r="A868" s="17"/>
      <c r="B868" s="17"/>
      <c r="C868" s="17"/>
      <c r="D868" s="17"/>
      <c r="E868" s="17"/>
      <c r="F868" s="17"/>
    </row>
    <row r="869" spans="1:6" ht="13.5" customHeight="1" x14ac:dyDescent="0.35">
      <c r="A869" s="17"/>
      <c r="B869" s="17"/>
      <c r="C869" s="17"/>
      <c r="D869" s="17"/>
      <c r="E869" s="17"/>
      <c r="F869" s="17"/>
    </row>
    <row r="870" spans="1:6" ht="13.5" customHeight="1" x14ac:dyDescent="0.35">
      <c r="A870" s="17"/>
      <c r="B870" s="17"/>
      <c r="C870" s="17"/>
      <c r="D870" s="17"/>
      <c r="E870" s="17"/>
      <c r="F870" s="17"/>
    </row>
    <row r="871" spans="1:6" ht="13.5" customHeight="1" x14ac:dyDescent="0.35">
      <c r="A871" s="17"/>
      <c r="B871" s="17"/>
      <c r="C871" s="17"/>
      <c r="D871" s="17"/>
      <c r="E871" s="17"/>
      <c r="F871" s="17"/>
    </row>
    <row r="872" spans="1:6" ht="13.5" customHeight="1" x14ac:dyDescent="0.35">
      <c r="A872" s="17"/>
      <c r="B872" s="17"/>
      <c r="C872" s="17"/>
      <c r="D872" s="17"/>
      <c r="E872" s="17"/>
      <c r="F872" s="17"/>
    </row>
    <row r="873" spans="1:6" ht="13.5" customHeight="1" x14ac:dyDescent="0.35">
      <c r="A873" s="17"/>
      <c r="B873" s="17"/>
      <c r="C873" s="17"/>
      <c r="D873" s="17"/>
      <c r="E873" s="17"/>
      <c r="F873" s="17"/>
    </row>
    <row r="874" spans="1:6" ht="13.5" customHeight="1" x14ac:dyDescent="0.35">
      <c r="A874" s="17"/>
      <c r="B874" s="17"/>
      <c r="C874" s="17"/>
      <c r="D874" s="17"/>
      <c r="E874" s="17"/>
      <c r="F874" s="17"/>
    </row>
    <row r="875" spans="1:6" ht="13.5" customHeight="1" x14ac:dyDescent="0.35">
      <c r="A875" s="17"/>
      <c r="B875" s="17"/>
      <c r="C875" s="17"/>
      <c r="D875" s="17"/>
      <c r="E875" s="17"/>
      <c r="F875" s="17"/>
    </row>
    <row r="876" spans="1:6" ht="13.5" customHeight="1" x14ac:dyDescent="0.35">
      <c r="A876" s="17"/>
      <c r="B876" s="17"/>
      <c r="C876" s="17"/>
      <c r="D876" s="17"/>
      <c r="E876" s="17"/>
      <c r="F876" s="17"/>
    </row>
    <row r="877" spans="1:6" ht="13.5" customHeight="1" x14ac:dyDescent="0.35">
      <c r="A877" s="17"/>
      <c r="B877" s="17"/>
      <c r="C877" s="17"/>
      <c r="D877" s="17"/>
      <c r="E877" s="17"/>
      <c r="F877" s="17"/>
    </row>
    <row r="878" spans="1:6" ht="13.5" customHeight="1" x14ac:dyDescent="0.35">
      <c r="A878" s="17"/>
      <c r="B878" s="17"/>
      <c r="C878" s="17"/>
      <c r="D878" s="17"/>
      <c r="E878" s="17"/>
      <c r="F878" s="17"/>
    </row>
    <row r="879" spans="1:6" ht="13.5" customHeight="1" x14ac:dyDescent="0.35">
      <c r="A879" s="17"/>
      <c r="B879" s="17"/>
      <c r="C879" s="17"/>
      <c r="D879" s="17"/>
      <c r="E879" s="17"/>
      <c r="F879" s="17"/>
    </row>
    <row r="880" spans="1:6" ht="13.5" customHeight="1" x14ac:dyDescent="0.35">
      <c r="A880" s="17"/>
      <c r="B880" s="17"/>
      <c r="C880" s="17"/>
      <c r="D880" s="17"/>
      <c r="E880" s="17"/>
      <c r="F880" s="17"/>
    </row>
    <row r="881" spans="1:6" ht="13.5" customHeight="1" x14ac:dyDescent="0.35">
      <c r="A881" s="17"/>
      <c r="B881" s="17"/>
      <c r="C881" s="17"/>
      <c r="D881" s="17"/>
      <c r="E881" s="17"/>
      <c r="F881" s="17"/>
    </row>
    <row r="882" spans="1:6" ht="13.5" customHeight="1" x14ac:dyDescent="0.35">
      <c r="A882" s="17"/>
      <c r="B882" s="17"/>
      <c r="C882" s="17"/>
      <c r="D882" s="17"/>
      <c r="E882" s="17"/>
      <c r="F882" s="17"/>
    </row>
    <row r="883" spans="1:6" ht="13.5" customHeight="1" x14ac:dyDescent="0.35">
      <c r="A883" s="17"/>
      <c r="B883" s="17"/>
      <c r="C883" s="17"/>
      <c r="D883" s="17"/>
      <c r="E883" s="17"/>
      <c r="F883" s="17"/>
    </row>
    <row r="884" spans="1:6" ht="13.5" customHeight="1" x14ac:dyDescent="0.35">
      <c r="A884" s="17"/>
      <c r="B884" s="17"/>
      <c r="C884" s="17"/>
      <c r="D884" s="17"/>
      <c r="E884" s="17"/>
      <c r="F884" s="17"/>
    </row>
    <row r="885" spans="1:6" ht="13.5" customHeight="1" x14ac:dyDescent="0.35">
      <c r="A885" s="17"/>
      <c r="B885" s="17"/>
      <c r="C885" s="17"/>
      <c r="D885" s="17"/>
      <c r="E885" s="17"/>
      <c r="F885" s="17"/>
    </row>
    <row r="886" spans="1:6" ht="13.5" customHeight="1" x14ac:dyDescent="0.35">
      <c r="A886" s="17"/>
      <c r="B886" s="17"/>
      <c r="C886" s="17"/>
      <c r="D886" s="17"/>
      <c r="E886" s="17"/>
      <c r="F886" s="17"/>
    </row>
    <row r="887" spans="1:6" ht="13.5" customHeight="1" x14ac:dyDescent="0.35">
      <c r="A887" s="17"/>
      <c r="B887" s="17"/>
      <c r="C887" s="17"/>
      <c r="D887" s="17"/>
      <c r="E887" s="17"/>
      <c r="F887" s="17"/>
    </row>
    <row r="888" spans="1:6" ht="13.5" customHeight="1" x14ac:dyDescent="0.35">
      <c r="A888" s="17"/>
      <c r="B888" s="17"/>
      <c r="C888" s="17"/>
      <c r="D888" s="17"/>
      <c r="E888" s="17"/>
      <c r="F888" s="17"/>
    </row>
    <row r="889" spans="1:6" ht="13.5" customHeight="1" x14ac:dyDescent="0.35">
      <c r="A889" s="17"/>
      <c r="B889" s="17"/>
      <c r="C889" s="17"/>
      <c r="D889" s="17"/>
      <c r="E889" s="17"/>
      <c r="F889" s="17"/>
    </row>
    <row r="890" spans="1:6" ht="13.5" customHeight="1" x14ac:dyDescent="0.35">
      <c r="A890" s="17"/>
      <c r="B890" s="17"/>
      <c r="C890" s="17"/>
      <c r="D890" s="17"/>
      <c r="E890" s="17"/>
      <c r="F890" s="17"/>
    </row>
    <row r="891" spans="1:6" ht="13.5" customHeight="1" x14ac:dyDescent="0.35">
      <c r="A891" s="17"/>
      <c r="B891" s="17"/>
      <c r="C891" s="17"/>
      <c r="D891" s="17"/>
      <c r="E891" s="17"/>
      <c r="F891" s="17"/>
    </row>
    <row r="892" spans="1:6" ht="13.5" customHeight="1" x14ac:dyDescent="0.35">
      <c r="A892" s="17"/>
      <c r="B892" s="17"/>
      <c r="C892" s="17"/>
      <c r="D892" s="17"/>
      <c r="E892" s="17"/>
      <c r="F892" s="17"/>
    </row>
    <row r="893" spans="1:6" ht="13.5" customHeight="1" x14ac:dyDescent="0.35">
      <c r="A893" s="17"/>
      <c r="B893" s="17"/>
      <c r="C893" s="17"/>
      <c r="D893" s="17"/>
      <c r="E893" s="17"/>
      <c r="F893" s="17"/>
    </row>
    <row r="894" spans="1:6" ht="13.5" customHeight="1" x14ac:dyDescent="0.35">
      <c r="A894" s="17"/>
      <c r="B894" s="17"/>
      <c r="C894" s="17"/>
      <c r="D894" s="17"/>
      <c r="E894" s="17"/>
      <c r="F894" s="17"/>
    </row>
    <row r="895" spans="1:6" ht="13.5" customHeight="1" x14ac:dyDescent="0.35">
      <c r="A895" s="17"/>
      <c r="B895" s="17"/>
      <c r="C895" s="17"/>
      <c r="D895" s="17"/>
      <c r="E895" s="17"/>
      <c r="F895" s="17"/>
    </row>
    <row r="896" spans="1:6" ht="13.5" customHeight="1" x14ac:dyDescent="0.35">
      <c r="A896" s="17"/>
      <c r="B896" s="17"/>
      <c r="C896" s="17"/>
      <c r="D896" s="17"/>
      <c r="E896" s="17"/>
      <c r="F896" s="17"/>
    </row>
    <row r="897" spans="1:6" ht="13.5" customHeight="1" x14ac:dyDescent="0.35">
      <c r="A897" s="17"/>
      <c r="B897" s="17"/>
      <c r="C897" s="17"/>
      <c r="D897" s="17"/>
      <c r="E897" s="17"/>
      <c r="F897" s="17"/>
    </row>
    <row r="898" spans="1:6" ht="13.5" customHeight="1" x14ac:dyDescent="0.35">
      <c r="A898" s="17"/>
      <c r="B898" s="17"/>
      <c r="C898" s="17"/>
      <c r="D898" s="17"/>
      <c r="E898" s="17"/>
      <c r="F898" s="17"/>
    </row>
    <row r="899" spans="1:6" ht="13.5" customHeight="1" x14ac:dyDescent="0.35">
      <c r="A899" s="17"/>
      <c r="B899" s="17"/>
      <c r="C899" s="17"/>
      <c r="D899" s="17"/>
      <c r="E899" s="17"/>
      <c r="F899" s="17"/>
    </row>
    <row r="900" spans="1:6" ht="13.5" customHeight="1" x14ac:dyDescent="0.35">
      <c r="A900" s="17"/>
      <c r="B900" s="17"/>
      <c r="C900" s="17"/>
      <c r="D900" s="17"/>
      <c r="E900" s="17"/>
      <c r="F900" s="17"/>
    </row>
    <row r="901" spans="1:6" ht="13.5" customHeight="1" x14ac:dyDescent="0.35">
      <c r="A901" s="17"/>
      <c r="B901" s="17"/>
      <c r="C901" s="17"/>
      <c r="D901" s="17"/>
      <c r="E901" s="17"/>
      <c r="F901" s="17"/>
    </row>
    <row r="902" spans="1:6" ht="13.5" customHeight="1" x14ac:dyDescent="0.35">
      <c r="A902" s="17"/>
      <c r="B902" s="17"/>
      <c r="C902" s="17"/>
      <c r="D902" s="17"/>
      <c r="E902" s="17"/>
      <c r="F902" s="17"/>
    </row>
    <row r="903" spans="1:6" ht="13.5" customHeight="1" x14ac:dyDescent="0.35">
      <c r="A903" s="17"/>
      <c r="B903" s="17"/>
      <c r="C903" s="17"/>
      <c r="D903" s="17"/>
      <c r="E903" s="17"/>
      <c r="F903" s="17"/>
    </row>
    <row r="904" spans="1:6" ht="13.5" customHeight="1" x14ac:dyDescent="0.35">
      <c r="A904" s="17"/>
      <c r="B904" s="17"/>
      <c r="C904" s="17"/>
      <c r="D904" s="17"/>
      <c r="E904" s="17"/>
      <c r="F904" s="17"/>
    </row>
    <row r="905" spans="1:6" ht="13.5" customHeight="1" x14ac:dyDescent="0.35">
      <c r="A905" s="17"/>
      <c r="B905" s="17"/>
      <c r="C905" s="17"/>
      <c r="D905" s="17"/>
      <c r="E905" s="17"/>
      <c r="F905" s="17"/>
    </row>
    <row r="906" spans="1:6" ht="13.5" customHeight="1" x14ac:dyDescent="0.35">
      <c r="A906" s="17"/>
      <c r="B906" s="17"/>
      <c r="C906" s="17"/>
      <c r="D906" s="17"/>
      <c r="E906" s="17"/>
      <c r="F906" s="17"/>
    </row>
    <row r="907" spans="1:6" ht="13.5" customHeight="1" x14ac:dyDescent="0.35">
      <c r="A907" s="17"/>
      <c r="B907" s="17"/>
      <c r="C907" s="17"/>
      <c r="D907" s="17"/>
      <c r="E907" s="17"/>
      <c r="F907" s="17"/>
    </row>
    <row r="908" spans="1:6" ht="13.5" customHeight="1" x14ac:dyDescent="0.35">
      <c r="A908" s="17"/>
      <c r="B908" s="17"/>
      <c r="C908" s="17"/>
      <c r="D908" s="17"/>
      <c r="E908" s="17"/>
      <c r="F908" s="17"/>
    </row>
    <row r="909" spans="1:6" ht="13.5" customHeight="1" x14ac:dyDescent="0.35">
      <c r="A909" s="17"/>
      <c r="B909" s="17"/>
      <c r="C909" s="17"/>
      <c r="D909" s="17"/>
      <c r="E909" s="17"/>
      <c r="F909" s="17"/>
    </row>
    <row r="910" spans="1:6" ht="13.5" customHeight="1" x14ac:dyDescent="0.35">
      <c r="A910" s="17"/>
      <c r="B910" s="17"/>
      <c r="C910" s="17"/>
      <c r="D910" s="17"/>
      <c r="E910" s="17"/>
      <c r="F910" s="17"/>
    </row>
    <row r="911" spans="1:6" ht="13.5" customHeight="1" x14ac:dyDescent="0.35">
      <c r="A911" s="17"/>
      <c r="B911" s="17"/>
      <c r="C911" s="17"/>
      <c r="D911" s="17"/>
      <c r="E911" s="17"/>
      <c r="F911" s="17"/>
    </row>
    <row r="912" spans="1:6" ht="13.5" customHeight="1" x14ac:dyDescent="0.35">
      <c r="A912" s="17"/>
      <c r="B912" s="17"/>
      <c r="C912" s="17"/>
      <c r="D912" s="17"/>
      <c r="E912" s="17"/>
      <c r="F912" s="17"/>
    </row>
    <row r="913" spans="1:6" ht="13.5" customHeight="1" x14ac:dyDescent="0.35">
      <c r="A913" s="17"/>
      <c r="B913" s="17"/>
      <c r="C913" s="17"/>
      <c r="D913" s="17"/>
      <c r="E913" s="17"/>
      <c r="F913" s="17"/>
    </row>
    <row r="914" spans="1:6" ht="13.5" customHeight="1" x14ac:dyDescent="0.35">
      <c r="A914" s="17"/>
      <c r="B914" s="17"/>
      <c r="C914" s="17"/>
      <c r="D914" s="17"/>
      <c r="E914" s="17"/>
      <c r="F914" s="17"/>
    </row>
    <row r="915" spans="1:6" ht="13.5" customHeight="1" x14ac:dyDescent="0.35">
      <c r="A915" s="17"/>
      <c r="B915" s="17"/>
      <c r="C915" s="17"/>
      <c r="D915" s="17"/>
      <c r="E915" s="17"/>
      <c r="F915" s="17"/>
    </row>
    <row r="916" spans="1:6" ht="13.5" customHeight="1" x14ac:dyDescent="0.35">
      <c r="A916" s="17"/>
      <c r="B916" s="17"/>
      <c r="C916" s="17"/>
      <c r="D916" s="17"/>
      <c r="E916" s="17"/>
      <c r="F916" s="17"/>
    </row>
    <row r="917" spans="1:6" ht="13.5" customHeight="1" x14ac:dyDescent="0.35">
      <c r="A917" s="17"/>
      <c r="B917" s="17"/>
      <c r="C917" s="17"/>
      <c r="D917" s="17"/>
      <c r="E917" s="17"/>
      <c r="F917" s="17"/>
    </row>
    <row r="918" spans="1:6" ht="13.5" customHeight="1" x14ac:dyDescent="0.35">
      <c r="A918" s="17"/>
      <c r="B918" s="17"/>
      <c r="C918" s="17"/>
      <c r="D918" s="17"/>
      <c r="E918" s="17"/>
      <c r="F918" s="17"/>
    </row>
    <row r="919" spans="1:6" ht="13.5" customHeight="1" x14ac:dyDescent="0.35">
      <c r="A919" s="17"/>
      <c r="B919" s="17"/>
      <c r="C919" s="17"/>
      <c r="D919" s="17"/>
      <c r="E919" s="17"/>
      <c r="F919" s="17"/>
    </row>
    <row r="920" spans="1:6" ht="13.5" customHeight="1" x14ac:dyDescent="0.35">
      <c r="A920" s="17"/>
      <c r="B920" s="17"/>
      <c r="C920" s="17"/>
      <c r="D920" s="17"/>
      <c r="E920" s="17"/>
      <c r="F920" s="17"/>
    </row>
    <row r="921" spans="1:6" ht="13.5" customHeight="1" x14ac:dyDescent="0.35">
      <c r="A921" s="17"/>
      <c r="B921" s="17"/>
      <c r="C921" s="17"/>
      <c r="D921" s="17"/>
      <c r="E921" s="17"/>
      <c r="F921" s="17"/>
    </row>
    <row r="922" spans="1:6" ht="13.5" customHeight="1" x14ac:dyDescent="0.35">
      <c r="A922" s="17"/>
      <c r="B922" s="17"/>
      <c r="C922" s="17"/>
      <c r="D922" s="17"/>
      <c r="E922" s="17"/>
      <c r="F922" s="17"/>
    </row>
    <row r="923" spans="1:6" ht="13.5" customHeight="1" x14ac:dyDescent="0.35">
      <c r="A923" s="17"/>
      <c r="B923" s="17"/>
      <c r="C923" s="17"/>
      <c r="D923" s="17"/>
      <c r="E923" s="17"/>
      <c r="F923" s="17"/>
    </row>
    <row r="924" spans="1:6" ht="13.5" customHeight="1" x14ac:dyDescent="0.35">
      <c r="A924" s="17"/>
      <c r="B924" s="17"/>
      <c r="C924" s="17"/>
      <c r="D924" s="17"/>
      <c r="E924" s="17"/>
      <c r="F924" s="17"/>
    </row>
    <row r="925" spans="1:6" ht="13.5" customHeight="1" x14ac:dyDescent="0.35">
      <c r="A925" s="17"/>
      <c r="B925" s="17"/>
      <c r="C925" s="17"/>
      <c r="D925" s="17"/>
      <c r="E925" s="17"/>
      <c r="F925" s="17"/>
    </row>
    <row r="926" spans="1:6" ht="13.5" customHeight="1" x14ac:dyDescent="0.35">
      <c r="A926" s="17"/>
      <c r="B926" s="17"/>
      <c r="C926" s="17"/>
      <c r="D926" s="17"/>
      <c r="E926" s="17"/>
      <c r="F926" s="17"/>
    </row>
    <row r="927" spans="1:6" ht="13.5" customHeight="1" x14ac:dyDescent="0.35">
      <c r="A927" s="17"/>
      <c r="B927" s="17"/>
      <c r="C927" s="17"/>
      <c r="D927" s="17"/>
      <c r="E927" s="17"/>
      <c r="F927" s="17"/>
    </row>
    <row r="928" spans="1:6" ht="13.5" customHeight="1" x14ac:dyDescent="0.35">
      <c r="A928" s="17"/>
      <c r="B928" s="17"/>
      <c r="C928" s="17"/>
      <c r="D928" s="17"/>
      <c r="E928" s="17"/>
      <c r="F928" s="17"/>
    </row>
    <row r="929" spans="1:6" ht="13.5" customHeight="1" x14ac:dyDescent="0.35">
      <c r="A929" s="17"/>
      <c r="B929" s="17"/>
      <c r="C929" s="17"/>
      <c r="D929" s="17"/>
      <c r="E929" s="17"/>
      <c r="F929" s="17"/>
    </row>
    <row r="930" spans="1:6" ht="13.5" customHeight="1" x14ac:dyDescent="0.35">
      <c r="A930" s="17"/>
      <c r="B930" s="17"/>
      <c r="C930" s="17"/>
      <c r="D930" s="17"/>
      <c r="E930" s="17"/>
      <c r="F930" s="17"/>
    </row>
    <row r="931" spans="1:6" ht="13.5" customHeight="1" x14ac:dyDescent="0.35">
      <c r="A931" s="17"/>
      <c r="B931" s="17"/>
      <c r="C931" s="17"/>
      <c r="D931" s="17"/>
      <c r="E931" s="17"/>
      <c r="F931" s="17"/>
    </row>
    <row r="932" spans="1:6" ht="13.5" customHeight="1" x14ac:dyDescent="0.35">
      <c r="A932" s="17"/>
      <c r="B932" s="17"/>
      <c r="C932" s="17"/>
      <c r="D932" s="17"/>
      <c r="E932" s="17"/>
      <c r="F932" s="17"/>
    </row>
    <row r="933" spans="1:6" ht="13.5" customHeight="1" x14ac:dyDescent="0.35">
      <c r="A933" s="17"/>
      <c r="B933" s="17"/>
      <c r="C933" s="17"/>
      <c r="D933" s="17"/>
      <c r="E933" s="17"/>
      <c r="F933" s="17"/>
    </row>
    <row r="934" spans="1:6" ht="13.5" customHeight="1" x14ac:dyDescent="0.35">
      <c r="A934" s="17"/>
      <c r="B934" s="17"/>
      <c r="C934" s="17"/>
      <c r="D934" s="17"/>
      <c r="E934" s="17"/>
      <c r="F934" s="17"/>
    </row>
    <row r="935" spans="1:6" ht="13.5" customHeight="1" x14ac:dyDescent="0.35">
      <c r="A935" s="17"/>
      <c r="B935" s="17"/>
      <c r="C935" s="17"/>
      <c r="D935" s="17"/>
      <c r="E935" s="17"/>
      <c r="F935" s="17"/>
    </row>
    <row r="936" spans="1:6" ht="13.5" customHeight="1" x14ac:dyDescent="0.35">
      <c r="A936" s="17"/>
      <c r="B936" s="17"/>
      <c r="C936" s="17"/>
      <c r="D936" s="17"/>
      <c r="E936" s="17"/>
      <c r="F936" s="17"/>
    </row>
    <row r="937" spans="1:6" ht="13.5" customHeight="1" x14ac:dyDescent="0.35">
      <c r="A937" s="17"/>
      <c r="B937" s="17"/>
      <c r="C937" s="17"/>
      <c r="D937" s="17"/>
      <c r="E937" s="17"/>
      <c r="F937" s="17"/>
    </row>
    <row r="938" spans="1:6" ht="13.5" customHeight="1" x14ac:dyDescent="0.35">
      <c r="A938" s="17"/>
      <c r="B938" s="17"/>
      <c r="C938" s="17"/>
      <c r="D938" s="17"/>
      <c r="E938" s="17"/>
      <c r="F938" s="17"/>
    </row>
    <row r="939" spans="1:6" ht="13.5" customHeight="1" x14ac:dyDescent="0.35">
      <c r="A939" s="17"/>
      <c r="B939" s="17"/>
      <c r="C939" s="17"/>
      <c r="D939" s="17"/>
      <c r="E939" s="17"/>
      <c r="F939" s="17"/>
    </row>
    <row r="940" spans="1:6" ht="13.5" customHeight="1" x14ac:dyDescent="0.35">
      <c r="A940" s="17"/>
      <c r="B940" s="17"/>
      <c r="C940" s="17"/>
      <c r="D940" s="17"/>
      <c r="E940" s="17"/>
      <c r="F940" s="17"/>
    </row>
    <row r="941" spans="1:6" ht="13.5" customHeight="1" x14ac:dyDescent="0.35">
      <c r="A941" s="17"/>
      <c r="B941" s="17"/>
      <c r="C941" s="17"/>
      <c r="D941" s="17"/>
      <c r="E941" s="17"/>
      <c r="F941" s="17"/>
    </row>
    <row r="942" spans="1:6" ht="13.5" customHeight="1" x14ac:dyDescent="0.35">
      <c r="A942" s="17"/>
      <c r="B942" s="17"/>
      <c r="C942" s="17"/>
      <c r="D942" s="17"/>
      <c r="E942" s="17"/>
      <c r="F942" s="17"/>
    </row>
    <row r="943" spans="1:6" ht="13.5" customHeight="1" x14ac:dyDescent="0.35">
      <c r="A943" s="17"/>
      <c r="B943" s="17"/>
      <c r="C943" s="17"/>
      <c r="D943" s="17"/>
      <c r="E943" s="17"/>
      <c r="F943" s="17"/>
    </row>
    <row r="944" spans="1:6" ht="13.5" customHeight="1" x14ac:dyDescent="0.35">
      <c r="A944" s="17"/>
      <c r="B944" s="17"/>
      <c r="C944" s="17"/>
      <c r="D944" s="17"/>
      <c r="E944" s="17"/>
      <c r="F944" s="17"/>
    </row>
    <row r="945" spans="1:6" ht="13.5" customHeight="1" x14ac:dyDescent="0.35">
      <c r="A945" s="17"/>
      <c r="B945" s="17"/>
      <c r="C945" s="17"/>
      <c r="D945" s="17"/>
      <c r="E945" s="17"/>
      <c r="F945" s="17"/>
    </row>
    <row r="946" spans="1:6" ht="13.5" customHeight="1" x14ac:dyDescent="0.35">
      <c r="A946" s="17"/>
      <c r="B946" s="17"/>
      <c r="C946" s="17"/>
      <c r="D946" s="17"/>
      <c r="E946" s="17"/>
      <c r="F946" s="17"/>
    </row>
    <row r="947" spans="1:6" ht="13.5" customHeight="1" x14ac:dyDescent="0.35">
      <c r="A947" s="17"/>
      <c r="B947" s="17"/>
      <c r="C947" s="17"/>
      <c r="D947" s="17"/>
      <c r="E947" s="17"/>
      <c r="F947" s="17"/>
    </row>
    <row r="948" spans="1:6" ht="13.5" customHeight="1" x14ac:dyDescent="0.35">
      <c r="A948" s="17"/>
      <c r="B948" s="17"/>
      <c r="C948" s="17"/>
      <c r="D948" s="17"/>
      <c r="E948" s="17"/>
      <c r="F948" s="17"/>
    </row>
    <row r="949" spans="1:6" ht="13.5" customHeight="1" x14ac:dyDescent="0.35">
      <c r="A949" s="17"/>
      <c r="B949" s="17"/>
      <c r="C949" s="17"/>
      <c r="D949" s="17"/>
      <c r="E949" s="17"/>
      <c r="F949" s="17"/>
    </row>
    <row r="950" spans="1:6" ht="13.5" customHeight="1" x14ac:dyDescent="0.35">
      <c r="A950" s="17"/>
      <c r="B950" s="17"/>
      <c r="C950" s="17"/>
      <c r="D950" s="17"/>
      <c r="E950" s="17"/>
      <c r="F950" s="17"/>
    </row>
    <row r="951" spans="1:6" ht="13.5" customHeight="1" x14ac:dyDescent="0.35">
      <c r="A951" s="17"/>
      <c r="B951" s="17"/>
      <c r="C951" s="17"/>
      <c r="D951" s="17"/>
      <c r="E951" s="17"/>
      <c r="F951" s="17"/>
    </row>
    <row r="952" spans="1:6" ht="13.5" customHeight="1" x14ac:dyDescent="0.35">
      <c r="A952" s="17"/>
      <c r="B952" s="17"/>
      <c r="C952" s="17"/>
      <c r="D952" s="17"/>
      <c r="E952" s="17"/>
      <c r="F952" s="17"/>
    </row>
    <row r="953" spans="1:6" ht="13.5" customHeight="1" x14ac:dyDescent="0.35">
      <c r="A953" s="17"/>
      <c r="B953" s="17"/>
      <c r="C953" s="17"/>
      <c r="D953" s="17"/>
      <c r="E953" s="17"/>
      <c r="F953" s="17"/>
    </row>
    <row r="954" spans="1:6" ht="13.5" customHeight="1" x14ac:dyDescent="0.35">
      <c r="A954" s="17"/>
      <c r="B954" s="17"/>
      <c r="C954" s="17"/>
      <c r="D954" s="17"/>
      <c r="E954" s="17"/>
      <c r="F954" s="17"/>
    </row>
    <row r="955" spans="1:6" ht="13.5" customHeight="1" x14ac:dyDescent="0.35">
      <c r="A955" s="17"/>
      <c r="B955" s="17"/>
      <c r="C955" s="17"/>
      <c r="D955" s="17"/>
      <c r="E955" s="17"/>
      <c r="F955" s="17"/>
    </row>
    <row r="956" spans="1:6" ht="13.5" customHeight="1" x14ac:dyDescent="0.35">
      <c r="A956" s="17"/>
      <c r="B956" s="17"/>
      <c r="C956" s="17"/>
      <c r="D956" s="17"/>
      <c r="E956" s="17"/>
      <c r="F956" s="17"/>
    </row>
    <row r="957" spans="1:6" ht="13.5" customHeight="1" x14ac:dyDescent="0.35">
      <c r="A957" s="17"/>
      <c r="B957" s="17"/>
      <c r="C957" s="17"/>
      <c r="D957" s="17"/>
      <c r="E957" s="17"/>
      <c r="F957" s="17"/>
    </row>
    <row r="958" spans="1:6" ht="13.5" customHeight="1" x14ac:dyDescent="0.35">
      <c r="A958" s="17"/>
      <c r="B958" s="17"/>
      <c r="C958" s="17"/>
      <c r="D958" s="17"/>
      <c r="E958" s="17"/>
      <c r="F958" s="17"/>
    </row>
    <row r="959" spans="1:6" ht="13.5" customHeight="1" x14ac:dyDescent="0.35">
      <c r="A959" s="17"/>
      <c r="B959" s="17"/>
      <c r="C959" s="17"/>
      <c r="D959" s="17"/>
      <c r="E959" s="17"/>
      <c r="F959" s="17"/>
    </row>
    <row r="960" spans="1:6" ht="13.5" customHeight="1" x14ac:dyDescent="0.35">
      <c r="A960" s="17"/>
      <c r="B960" s="17"/>
      <c r="C960" s="17"/>
      <c r="D960" s="17"/>
      <c r="E960" s="17"/>
      <c r="F960" s="17"/>
    </row>
    <row r="961" spans="1:6" ht="13.5" customHeight="1" x14ac:dyDescent="0.35">
      <c r="A961" s="17"/>
      <c r="B961" s="17"/>
      <c r="C961" s="17"/>
      <c r="D961" s="17"/>
      <c r="E961" s="17"/>
      <c r="F961" s="17"/>
    </row>
    <row r="962" spans="1:6" ht="13.5" customHeight="1" x14ac:dyDescent="0.35">
      <c r="A962" s="17"/>
      <c r="B962" s="17"/>
      <c r="C962" s="17"/>
      <c r="D962" s="17"/>
      <c r="E962" s="17"/>
      <c r="F962" s="17"/>
    </row>
    <row r="963" spans="1:6" ht="13.5" customHeight="1" x14ac:dyDescent="0.35">
      <c r="A963" s="17"/>
      <c r="B963" s="17"/>
      <c r="C963" s="17"/>
      <c r="D963" s="17"/>
      <c r="E963" s="17"/>
      <c r="F963" s="17"/>
    </row>
    <row r="964" spans="1:6" ht="13.5" customHeight="1" x14ac:dyDescent="0.35">
      <c r="A964" s="17"/>
      <c r="B964" s="17"/>
      <c r="C964" s="17"/>
      <c r="D964" s="17"/>
      <c r="E964" s="17"/>
      <c r="F964" s="17"/>
    </row>
    <row r="965" spans="1:6" ht="13.5" customHeight="1" x14ac:dyDescent="0.35">
      <c r="A965" s="17"/>
      <c r="B965" s="17"/>
      <c r="C965" s="17"/>
      <c r="D965" s="17"/>
      <c r="E965" s="17"/>
      <c r="F965" s="17"/>
    </row>
    <row r="966" spans="1:6" ht="13.5" customHeight="1" x14ac:dyDescent="0.35">
      <c r="A966" s="17"/>
      <c r="B966" s="17"/>
      <c r="C966" s="17"/>
      <c r="D966" s="17"/>
      <c r="E966" s="17"/>
      <c r="F966" s="17"/>
    </row>
    <row r="967" spans="1:6" ht="13.5" customHeight="1" x14ac:dyDescent="0.35">
      <c r="A967" s="17"/>
      <c r="B967" s="17"/>
      <c r="C967" s="17"/>
      <c r="D967" s="17"/>
      <c r="E967" s="17"/>
      <c r="F967" s="17"/>
    </row>
    <row r="968" spans="1:6" ht="13.5" customHeight="1" x14ac:dyDescent="0.35">
      <c r="A968" s="17"/>
      <c r="B968" s="17"/>
      <c r="C968" s="17"/>
      <c r="D968" s="17"/>
      <c r="E968" s="17"/>
      <c r="F968" s="17"/>
    </row>
    <row r="969" spans="1:6" ht="13.5" customHeight="1" x14ac:dyDescent="0.35">
      <c r="A969" s="17"/>
      <c r="B969" s="17"/>
      <c r="C969" s="17"/>
      <c r="D969" s="17"/>
      <c r="E969" s="17"/>
      <c r="F969" s="17"/>
    </row>
    <row r="970" spans="1:6" ht="13.5" customHeight="1" x14ac:dyDescent="0.35">
      <c r="A970" s="17"/>
      <c r="B970" s="17"/>
      <c r="C970" s="17"/>
      <c r="D970" s="17"/>
      <c r="E970" s="17"/>
      <c r="F970" s="17"/>
    </row>
    <row r="971" spans="1:6" ht="13.5" customHeight="1" x14ac:dyDescent="0.35">
      <c r="A971" s="17"/>
      <c r="B971" s="17"/>
      <c r="C971" s="17"/>
      <c r="D971" s="17"/>
      <c r="E971" s="17"/>
      <c r="F971" s="17"/>
    </row>
    <row r="972" spans="1:6" ht="13.5" customHeight="1" x14ac:dyDescent="0.35">
      <c r="A972" s="17"/>
      <c r="B972" s="17"/>
      <c r="C972" s="17"/>
      <c r="D972" s="17"/>
      <c r="E972" s="17"/>
      <c r="F972" s="17"/>
    </row>
    <row r="973" spans="1:6" ht="13.5" customHeight="1" x14ac:dyDescent="0.35">
      <c r="A973" s="17"/>
      <c r="B973" s="17"/>
      <c r="C973" s="17"/>
      <c r="D973" s="17"/>
      <c r="E973" s="17"/>
      <c r="F973" s="17"/>
    </row>
    <row r="974" spans="1:6" ht="13.5" customHeight="1" x14ac:dyDescent="0.35">
      <c r="A974" s="17"/>
      <c r="B974" s="17"/>
      <c r="C974" s="17"/>
      <c r="D974" s="17"/>
      <c r="E974" s="17"/>
      <c r="F974" s="17"/>
    </row>
    <row r="975" spans="1:6" ht="13.5" customHeight="1" x14ac:dyDescent="0.35">
      <c r="A975" s="17"/>
      <c r="B975" s="17"/>
      <c r="C975" s="17"/>
      <c r="D975" s="17"/>
      <c r="E975" s="17"/>
      <c r="F975" s="17"/>
    </row>
    <row r="976" spans="1:6" ht="13.5" customHeight="1" x14ac:dyDescent="0.35">
      <c r="A976" s="17"/>
      <c r="B976" s="17"/>
      <c r="C976" s="17"/>
      <c r="D976" s="17"/>
      <c r="E976" s="17"/>
      <c r="F976" s="17"/>
    </row>
    <row r="977" spans="1:6" ht="13.5" customHeight="1" x14ac:dyDescent="0.35">
      <c r="A977" s="17"/>
      <c r="B977" s="17"/>
      <c r="C977" s="17"/>
      <c r="D977" s="17"/>
      <c r="E977" s="17"/>
      <c r="F977" s="17"/>
    </row>
    <row r="978" spans="1:6" ht="13.5" customHeight="1" x14ac:dyDescent="0.35">
      <c r="A978" s="17"/>
      <c r="B978" s="17"/>
      <c r="C978" s="17"/>
      <c r="D978" s="17"/>
      <c r="E978" s="17"/>
      <c r="F978" s="17"/>
    </row>
    <row r="979" spans="1:6" ht="13.5" customHeight="1" x14ac:dyDescent="0.35">
      <c r="A979" s="17"/>
      <c r="B979" s="17"/>
      <c r="C979" s="17"/>
      <c r="D979" s="17"/>
      <c r="E979" s="17"/>
      <c r="F979" s="17"/>
    </row>
    <row r="980" spans="1:6" ht="13.5" customHeight="1" x14ac:dyDescent="0.35">
      <c r="A980" s="17"/>
      <c r="B980" s="17"/>
      <c r="C980" s="17"/>
      <c r="D980" s="17"/>
      <c r="E980" s="17"/>
      <c r="F980" s="17"/>
    </row>
    <row r="981" spans="1:6" ht="13.5" customHeight="1" x14ac:dyDescent="0.35">
      <c r="A981" s="17"/>
      <c r="B981" s="17"/>
      <c r="C981" s="17"/>
      <c r="D981" s="17"/>
      <c r="E981" s="17"/>
      <c r="F981" s="17"/>
    </row>
    <row r="982" spans="1:6" ht="13.5" customHeight="1" x14ac:dyDescent="0.35">
      <c r="A982" s="17"/>
      <c r="B982" s="17"/>
      <c r="C982" s="17"/>
      <c r="D982" s="17"/>
      <c r="E982" s="17"/>
      <c r="F982" s="17"/>
    </row>
    <row r="983" spans="1:6" ht="13.5" customHeight="1" x14ac:dyDescent="0.35">
      <c r="A983" s="17"/>
      <c r="B983" s="17"/>
      <c r="C983" s="17"/>
      <c r="D983" s="17"/>
      <c r="E983" s="17"/>
      <c r="F983" s="17"/>
    </row>
    <row r="984" spans="1:6" ht="13.5" customHeight="1" x14ac:dyDescent="0.35">
      <c r="A984" s="17"/>
      <c r="B984" s="17"/>
      <c r="C984" s="17"/>
      <c r="D984" s="17"/>
      <c r="E984" s="17"/>
      <c r="F984" s="17"/>
    </row>
    <row r="985" spans="1:6" ht="13.5" customHeight="1" x14ac:dyDescent="0.35">
      <c r="A985" s="17"/>
      <c r="B985" s="17"/>
      <c r="C985" s="17"/>
      <c r="D985" s="17"/>
      <c r="E985" s="17"/>
      <c r="F985" s="17"/>
    </row>
    <row r="986" spans="1:6" ht="13.5" customHeight="1" x14ac:dyDescent="0.35">
      <c r="A986" s="17"/>
      <c r="B986" s="17"/>
      <c r="C986" s="17"/>
      <c r="D986" s="17"/>
      <c r="E986" s="17"/>
      <c r="F986" s="17"/>
    </row>
    <row r="987" spans="1:6" ht="13.5" customHeight="1" x14ac:dyDescent="0.35">
      <c r="A987" s="17"/>
      <c r="B987" s="17"/>
      <c r="C987" s="17"/>
      <c r="D987" s="17"/>
      <c r="E987" s="17"/>
      <c r="F987" s="17"/>
    </row>
    <row r="988" spans="1:6" ht="13.5" customHeight="1" x14ac:dyDescent="0.35">
      <c r="A988" s="17"/>
      <c r="B988" s="17"/>
      <c r="C988" s="17"/>
      <c r="D988" s="17"/>
      <c r="E988" s="17"/>
      <c r="F988" s="17"/>
    </row>
    <row r="989" spans="1:6" ht="13.5" customHeight="1" x14ac:dyDescent="0.35">
      <c r="A989" s="17"/>
      <c r="B989" s="17"/>
      <c r="C989" s="17"/>
      <c r="D989" s="17"/>
      <c r="E989" s="17"/>
      <c r="F989" s="17"/>
    </row>
    <row r="990" spans="1:6" ht="13.5" customHeight="1" x14ac:dyDescent="0.35">
      <c r="A990" s="17"/>
      <c r="B990" s="17"/>
      <c r="C990" s="17"/>
      <c r="D990" s="17"/>
      <c r="E990" s="17"/>
      <c r="F990" s="17"/>
    </row>
    <row r="991" spans="1:6" ht="13.5" customHeight="1" x14ac:dyDescent="0.35">
      <c r="A991" s="17"/>
      <c r="B991" s="17"/>
      <c r="C991" s="17"/>
      <c r="D991" s="17"/>
      <c r="E991" s="17"/>
      <c r="F991" s="17"/>
    </row>
    <row r="992" spans="1:6" ht="13.5" customHeight="1" x14ac:dyDescent="0.35">
      <c r="A992" s="17"/>
      <c r="B992" s="17"/>
      <c r="C992" s="17"/>
      <c r="D992" s="17"/>
      <c r="E992" s="17"/>
      <c r="F992" s="17"/>
    </row>
    <row r="993" spans="1:6" ht="13.5" customHeight="1" x14ac:dyDescent="0.35">
      <c r="A993" s="17"/>
      <c r="B993" s="17"/>
      <c r="C993" s="17"/>
      <c r="D993" s="17"/>
      <c r="E993" s="17"/>
      <c r="F993" s="17"/>
    </row>
    <row r="994" spans="1:6" ht="13.5" customHeight="1" x14ac:dyDescent="0.35">
      <c r="A994" s="17"/>
      <c r="B994" s="17"/>
      <c r="C994" s="17"/>
      <c r="D994" s="17"/>
      <c r="E994" s="17"/>
      <c r="F994" s="17"/>
    </row>
    <row r="995" spans="1:6" ht="13.5" customHeight="1" x14ac:dyDescent="0.35">
      <c r="A995" s="17"/>
      <c r="B995" s="17"/>
      <c r="C995" s="17"/>
      <c r="D995" s="17"/>
      <c r="E995" s="17"/>
      <c r="F995" s="17"/>
    </row>
    <row r="996" spans="1:6" ht="13.5" customHeight="1" x14ac:dyDescent="0.35">
      <c r="A996" s="17"/>
      <c r="B996" s="17"/>
      <c r="C996" s="17"/>
      <c r="D996" s="17"/>
      <c r="E996" s="17"/>
      <c r="F996" s="17"/>
    </row>
    <row r="997" spans="1:6" ht="13.5" customHeight="1" x14ac:dyDescent="0.35">
      <c r="A997" s="17"/>
      <c r="B997" s="17"/>
      <c r="C997" s="17"/>
      <c r="D997" s="17"/>
      <c r="E997" s="17"/>
      <c r="F997" s="17"/>
    </row>
    <row r="998" spans="1:6" ht="13.5" customHeight="1" x14ac:dyDescent="0.35">
      <c r="A998" s="17"/>
      <c r="B998" s="17"/>
      <c r="C998" s="17"/>
      <c r="D998" s="17"/>
      <c r="E998" s="17"/>
      <c r="F998" s="17"/>
    </row>
    <row r="999" spans="1:6" ht="13.5" customHeight="1" x14ac:dyDescent="0.35">
      <c r="A999" s="17"/>
      <c r="B999" s="17"/>
      <c r="C999" s="17"/>
      <c r="D999" s="17"/>
      <c r="E999" s="17"/>
      <c r="F999" s="17"/>
    </row>
    <row r="1000" spans="1:6" ht="13.5" customHeight="1" x14ac:dyDescent="0.35">
      <c r="A1000" s="17"/>
      <c r="B1000" s="17"/>
      <c r="C1000" s="17"/>
      <c r="D1000" s="17"/>
      <c r="E1000" s="17"/>
      <c r="F1000" s="17"/>
    </row>
  </sheetData>
  <sheetProtection algorithmName="SHA-512" hashValue="UrfM1wm6xsXw6tO60qNYllHylRzt9srmXKvsKr1u2BeBSlqs7vbcPFAsWhvSYiGKYG4hW28k9B94qH7zwJzP4g==" saltValue="QzeKSGOdSNlYHaww4obbbA==" spinCount="100000" sheet="1" objects="1" scenarios="1" autoFilter="0"/>
  <mergeCells count="1">
    <mergeCell ref="A1:F2"/>
  </mergeCells>
  <pageMargins left="0.4" right="0.4" top="0.5" bottom="0.5" header="0.511811023622047" footer="0.511811023622047"/>
  <pageSetup paperSize="9" scale="8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000"/>
  <sheetViews>
    <sheetView showGridLines="0" zoomScaleNormal="100" workbookViewId="0">
      <pane ySplit="4" topLeftCell="A5" activePane="bottomLeft" state="frozen"/>
      <selection pane="bottomLeft" activeCell="B6" sqref="B6"/>
    </sheetView>
  </sheetViews>
  <sheetFormatPr baseColWidth="10" defaultColWidth="14.54296875" defaultRowHeight="14.5" x14ac:dyDescent="0.35"/>
  <cols>
    <col min="1" max="1" width="30" customWidth="1"/>
    <col min="2" max="2" width="24" customWidth="1"/>
    <col min="3" max="3" width="55" customWidth="1"/>
    <col min="4" max="26" width="8.81640625" customWidth="1"/>
  </cols>
  <sheetData>
    <row r="1" spans="1:3" ht="30" customHeight="1" x14ac:dyDescent="0.35">
      <c r="A1" s="12" t="s">
        <v>208</v>
      </c>
      <c r="B1" s="12"/>
      <c r="C1" s="12"/>
    </row>
    <row r="2" spans="1:3" ht="12" customHeight="1" x14ac:dyDescent="0.35">
      <c r="A2" s="12"/>
      <c r="B2" s="12"/>
      <c r="C2" s="12"/>
    </row>
    <row r="3" spans="1:3" ht="4.5" customHeight="1" x14ac:dyDescent="0.35">
      <c r="A3" s="31"/>
      <c r="B3" s="31"/>
      <c r="C3" s="31"/>
    </row>
    <row r="4" spans="1:3" ht="21.75" customHeight="1" x14ac:dyDescent="0.35">
      <c r="A4" s="81" t="s">
        <v>209</v>
      </c>
      <c r="B4" s="81" t="s">
        <v>210</v>
      </c>
      <c r="C4" s="81" t="s">
        <v>211</v>
      </c>
    </row>
    <row r="5" spans="1:3" ht="19.5" customHeight="1" x14ac:dyDescent="0.35">
      <c r="A5" s="82" t="s">
        <v>212</v>
      </c>
      <c r="B5" s="83" t="s">
        <v>213</v>
      </c>
      <c r="C5" s="82" t="s">
        <v>214</v>
      </c>
    </row>
    <row r="6" spans="1:3" ht="19.5" customHeight="1" x14ac:dyDescent="0.35">
      <c r="A6" s="84" t="s">
        <v>215</v>
      </c>
      <c r="B6" s="85" t="s">
        <v>213</v>
      </c>
      <c r="C6" s="84" t="s">
        <v>216</v>
      </c>
    </row>
    <row r="7" spans="1:3" ht="19.5" customHeight="1" x14ac:dyDescent="0.35">
      <c r="A7" s="82" t="s">
        <v>217</v>
      </c>
      <c r="B7" s="83" t="s">
        <v>213</v>
      </c>
      <c r="C7" s="82" t="s">
        <v>126</v>
      </c>
    </row>
    <row r="8" spans="1:3" ht="19.5" customHeight="1" x14ac:dyDescent="0.35">
      <c r="A8" s="84" t="s">
        <v>218</v>
      </c>
      <c r="B8" s="85" t="s">
        <v>213</v>
      </c>
      <c r="C8" s="84" t="s">
        <v>219</v>
      </c>
    </row>
    <row r="9" spans="1:3" ht="19.5" customHeight="1" x14ac:dyDescent="0.35">
      <c r="A9" s="82" t="s">
        <v>220</v>
      </c>
      <c r="B9" s="83" t="s">
        <v>213</v>
      </c>
      <c r="C9" s="82" t="s">
        <v>221</v>
      </c>
    </row>
    <row r="10" spans="1:3" ht="19.5" customHeight="1" x14ac:dyDescent="0.35">
      <c r="A10" s="84" t="s">
        <v>222</v>
      </c>
      <c r="B10" s="85" t="s">
        <v>213</v>
      </c>
      <c r="C10" s="84" t="s">
        <v>223</v>
      </c>
    </row>
    <row r="11" spans="1:3" ht="19.5" customHeight="1" x14ac:dyDescent="0.35">
      <c r="A11" s="82" t="s">
        <v>166</v>
      </c>
      <c r="B11" s="83" t="s">
        <v>213</v>
      </c>
      <c r="C11" s="82" t="s">
        <v>223</v>
      </c>
    </row>
    <row r="12" spans="1:3" ht="19.5" customHeight="1" x14ac:dyDescent="0.35">
      <c r="A12" s="84" t="s">
        <v>224</v>
      </c>
      <c r="B12" s="85" t="s">
        <v>213</v>
      </c>
      <c r="C12" s="84" t="s">
        <v>225</v>
      </c>
    </row>
    <row r="13" spans="1:3" ht="19.5" customHeight="1" x14ac:dyDescent="0.35">
      <c r="A13" s="82" t="s">
        <v>226</v>
      </c>
      <c r="B13" s="83" t="s">
        <v>213</v>
      </c>
      <c r="C13" s="82" t="s">
        <v>227</v>
      </c>
    </row>
    <row r="14" spans="1:3" ht="13.5" customHeight="1" x14ac:dyDescent="0.35">
      <c r="A14" s="17"/>
      <c r="B14" s="17"/>
      <c r="C14" s="17"/>
    </row>
    <row r="15" spans="1:3" ht="13.5" customHeight="1" x14ac:dyDescent="0.35">
      <c r="A15" s="17"/>
      <c r="B15" s="17"/>
      <c r="C15" s="17"/>
    </row>
    <row r="16" spans="1:3" ht="90" customHeight="1" x14ac:dyDescent="0.35">
      <c r="A16" s="86" t="s">
        <v>228</v>
      </c>
      <c r="B16" s="86"/>
      <c r="C16" s="86"/>
    </row>
    <row r="17" spans="1:3" ht="13.5" customHeight="1" x14ac:dyDescent="0.35">
      <c r="A17" s="86"/>
      <c r="B17" s="86"/>
      <c r="C17" s="86"/>
    </row>
    <row r="18" spans="1:3" ht="13.5" customHeight="1" x14ac:dyDescent="0.35">
      <c r="A18" s="86"/>
      <c r="B18" s="86"/>
      <c r="C18" s="86"/>
    </row>
    <row r="19" spans="1:3" ht="13.5" customHeight="1" x14ac:dyDescent="0.35">
      <c r="A19" s="86"/>
      <c r="B19" s="86"/>
      <c r="C19" s="86"/>
    </row>
    <row r="20" spans="1:3" ht="13.5" customHeight="1" x14ac:dyDescent="0.35">
      <c r="A20" s="86"/>
      <c r="B20" s="86"/>
      <c r="C20" s="86"/>
    </row>
    <row r="21" spans="1:3" ht="13.5" customHeight="1" x14ac:dyDescent="0.35">
      <c r="A21" s="17"/>
      <c r="B21" s="17"/>
      <c r="C21" s="17"/>
    </row>
    <row r="22" spans="1:3" ht="13.5" customHeight="1" x14ac:dyDescent="0.35">
      <c r="A22" s="17"/>
      <c r="B22" s="17"/>
      <c r="C22" s="17"/>
    </row>
    <row r="23" spans="1:3" ht="13.5" customHeight="1" x14ac:dyDescent="0.35">
      <c r="A23" s="17"/>
      <c r="B23" s="17"/>
      <c r="C23" s="17"/>
    </row>
    <row r="24" spans="1:3" ht="13.5" customHeight="1" x14ac:dyDescent="0.35">
      <c r="A24" s="17"/>
      <c r="B24" s="17"/>
      <c r="C24" s="17"/>
    </row>
    <row r="25" spans="1:3" ht="13.5" customHeight="1" x14ac:dyDescent="0.35">
      <c r="A25" s="17"/>
      <c r="B25" s="17"/>
      <c r="C25" s="17"/>
    </row>
    <row r="26" spans="1:3" ht="13.5" customHeight="1" x14ac:dyDescent="0.35">
      <c r="A26" s="17"/>
      <c r="B26" s="17"/>
      <c r="C26" s="17"/>
    </row>
    <row r="27" spans="1:3" ht="13.5" customHeight="1" x14ac:dyDescent="0.35">
      <c r="A27" s="17"/>
      <c r="B27" s="17"/>
      <c r="C27" s="17"/>
    </row>
    <row r="28" spans="1:3" ht="13.5" customHeight="1" x14ac:dyDescent="0.35">
      <c r="A28" s="17"/>
      <c r="B28" s="17"/>
      <c r="C28" s="17"/>
    </row>
    <row r="29" spans="1:3" ht="13.5" customHeight="1" x14ac:dyDescent="0.35">
      <c r="A29" s="17"/>
      <c r="B29" s="17"/>
      <c r="C29" s="17"/>
    </row>
    <row r="30" spans="1:3" ht="13.5" customHeight="1" x14ac:dyDescent="0.35">
      <c r="A30" s="17"/>
      <c r="B30" s="17"/>
      <c r="C30" s="17"/>
    </row>
    <row r="31" spans="1:3" ht="13.5" customHeight="1" x14ac:dyDescent="0.35">
      <c r="A31" s="17"/>
      <c r="B31" s="17"/>
      <c r="C31" s="17"/>
    </row>
    <row r="32" spans="1:3" ht="13.5" customHeight="1" x14ac:dyDescent="0.35">
      <c r="A32" s="17"/>
      <c r="B32" s="17"/>
      <c r="C32" s="17"/>
    </row>
    <row r="33" spans="1:3" ht="13.5" customHeight="1" x14ac:dyDescent="0.35">
      <c r="A33" s="17"/>
      <c r="B33" s="17"/>
      <c r="C33" s="17"/>
    </row>
    <row r="34" spans="1:3" ht="13.5" customHeight="1" x14ac:dyDescent="0.35">
      <c r="A34" s="17"/>
      <c r="B34" s="17"/>
      <c r="C34" s="17"/>
    </row>
    <row r="35" spans="1:3" ht="13.5" customHeight="1" x14ac:dyDescent="0.35">
      <c r="A35" s="17"/>
      <c r="B35" s="17"/>
      <c r="C35" s="17"/>
    </row>
    <row r="36" spans="1:3" ht="13.5" customHeight="1" x14ac:dyDescent="0.35">
      <c r="A36" s="17"/>
      <c r="B36" s="17"/>
      <c r="C36" s="17"/>
    </row>
    <row r="37" spans="1:3" ht="13.5" customHeight="1" x14ac:dyDescent="0.35">
      <c r="A37" s="17"/>
      <c r="B37" s="17"/>
      <c r="C37" s="17"/>
    </row>
    <row r="38" spans="1:3" ht="13.5" customHeight="1" x14ac:dyDescent="0.35">
      <c r="A38" s="17"/>
      <c r="B38" s="17"/>
      <c r="C38" s="17"/>
    </row>
    <row r="39" spans="1:3" ht="13.5" customHeight="1" x14ac:dyDescent="0.35">
      <c r="A39" s="17"/>
      <c r="B39" s="17"/>
      <c r="C39" s="17"/>
    </row>
    <row r="40" spans="1:3" ht="13.5" customHeight="1" x14ac:dyDescent="0.35">
      <c r="A40" s="17"/>
      <c r="B40" s="17"/>
      <c r="C40" s="17"/>
    </row>
    <row r="41" spans="1:3" ht="13.5" customHeight="1" x14ac:dyDescent="0.35">
      <c r="A41" s="17"/>
      <c r="B41" s="17"/>
      <c r="C41" s="17"/>
    </row>
    <row r="42" spans="1:3" ht="13.5" customHeight="1" x14ac:dyDescent="0.35">
      <c r="A42" s="17"/>
      <c r="B42" s="17"/>
      <c r="C42" s="17"/>
    </row>
    <row r="43" spans="1:3" ht="13.5" customHeight="1" x14ac:dyDescent="0.35">
      <c r="A43" s="17"/>
      <c r="B43" s="17"/>
      <c r="C43" s="17"/>
    </row>
    <row r="44" spans="1:3" ht="13.5" customHeight="1" x14ac:dyDescent="0.35">
      <c r="A44" s="17"/>
      <c r="B44" s="17"/>
      <c r="C44" s="17"/>
    </row>
    <row r="45" spans="1:3" ht="13.5" customHeight="1" x14ac:dyDescent="0.35">
      <c r="A45" s="17"/>
      <c r="B45" s="17"/>
      <c r="C45" s="17"/>
    </row>
    <row r="46" spans="1:3" ht="13.5" customHeight="1" x14ac:dyDescent="0.35">
      <c r="A46" s="17"/>
      <c r="B46" s="17"/>
      <c r="C46" s="17"/>
    </row>
    <row r="47" spans="1:3" ht="13.5" customHeight="1" x14ac:dyDescent="0.35">
      <c r="A47" s="17"/>
      <c r="B47" s="17"/>
      <c r="C47" s="17"/>
    </row>
    <row r="48" spans="1:3" ht="13.5" customHeight="1" x14ac:dyDescent="0.35">
      <c r="A48" s="17"/>
      <c r="B48" s="17"/>
      <c r="C48" s="17"/>
    </row>
    <row r="49" spans="1:3" ht="13.5" customHeight="1" x14ac:dyDescent="0.35">
      <c r="A49" s="17"/>
      <c r="B49" s="17"/>
      <c r="C49" s="17"/>
    </row>
    <row r="50" spans="1:3" ht="13.5" customHeight="1" x14ac:dyDescent="0.35">
      <c r="A50" s="17"/>
      <c r="B50" s="17"/>
      <c r="C50" s="17"/>
    </row>
    <row r="51" spans="1:3" ht="13.5" customHeight="1" x14ac:dyDescent="0.35">
      <c r="A51" s="17"/>
      <c r="B51" s="17"/>
      <c r="C51" s="17"/>
    </row>
    <row r="52" spans="1:3" ht="13.5" customHeight="1" x14ac:dyDescent="0.35">
      <c r="A52" s="17"/>
      <c r="B52" s="17"/>
      <c r="C52" s="17"/>
    </row>
    <row r="53" spans="1:3" ht="13.5" customHeight="1" x14ac:dyDescent="0.35">
      <c r="A53" s="17"/>
      <c r="B53" s="17"/>
      <c r="C53" s="17"/>
    </row>
    <row r="54" spans="1:3" ht="13.5" customHeight="1" x14ac:dyDescent="0.35">
      <c r="A54" s="17"/>
      <c r="B54" s="17"/>
      <c r="C54" s="17"/>
    </row>
    <row r="55" spans="1:3" ht="13.5" customHeight="1" x14ac:dyDescent="0.35">
      <c r="A55" s="17"/>
      <c r="B55" s="17"/>
      <c r="C55" s="17"/>
    </row>
    <row r="56" spans="1:3" ht="13.5" customHeight="1" x14ac:dyDescent="0.35">
      <c r="A56" s="17"/>
      <c r="B56" s="17"/>
      <c r="C56" s="17"/>
    </row>
    <row r="57" spans="1:3" ht="13.5" customHeight="1" x14ac:dyDescent="0.35">
      <c r="A57" s="17"/>
      <c r="B57" s="17"/>
      <c r="C57" s="17"/>
    </row>
    <row r="58" spans="1:3" ht="13.5" customHeight="1" x14ac:dyDescent="0.35">
      <c r="A58" s="17"/>
      <c r="B58" s="17"/>
      <c r="C58" s="17"/>
    </row>
    <row r="59" spans="1:3" ht="13.5" customHeight="1" x14ac:dyDescent="0.35">
      <c r="A59" s="17"/>
      <c r="B59" s="17"/>
      <c r="C59" s="17"/>
    </row>
    <row r="60" spans="1:3" ht="13.5" customHeight="1" x14ac:dyDescent="0.35">
      <c r="A60" s="17"/>
      <c r="B60" s="17"/>
      <c r="C60" s="17"/>
    </row>
    <row r="61" spans="1:3" ht="13.5" customHeight="1" x14ac:dyDescent="0.35">
      <c r="A61" s="17"/>
      <c r="B61" s="17"/>
      <c r="C61" s="17"/>
    </row>
    <row r="62" spans="1:3" ht="13.5" customHeight="1" x14ac:dyDescent="0.35">
      <c r="A62" s="17"/>
      <c r="B62" s="17"/>
      <c r="C62" s="17"/>
    </row>
    <row r="63" spans="1:3" ht="13.5" customHeight="1" x14ac:dyDescent="0.35">
      <c r="A63" s="17"/>
      <c r="B63" s="17"/>
      <c r="C63" s="17"/>
    </row>
    <row r="64" spans="1:3" ht="13.5" customHeight="1" x14ac:dyDescent="0.35">
      <c r="A64" s="17"/>
      <c r="B64" s="17"/>
      <c r="C64" s="17"/>
    </row>
    <row r="65" spans="1:3" ht="13.5" customHeight="1" x14ac:dyDescent="0.35">
      <c r="A65" s="17"/>
      <c r="B65" s="17"/>
      <c r="C65" s="17"/>
    </row>
    <row r="66" spans="1:3" ht="13.5" customHeight="1" x14ac:dyDescent="0.35">
      <c r="A66" s="17"/>
      <c r="B66" s="17"/>
      <c r="C66" s="17"/>
    </row>
    <row r="67" spans="1:3" ht="13.5" customHeight="1" x14ac:dyDescent="0.35">
      <c r="A67" s="17"/>
      <c r="B67" s="17"/>
      <c r="C67" s="17"/>
    </row>
    <row r="68" spans="1:3" ht="13.5" customHeight="1" x14ac:dyDescent="0.35">
      <c r="A68" s="17"/>
      <c r="B68" s="17"/>
      <c r="C68" s="17"/>
    </row>
    <row r="69" spans="1:3" ht="13.5" customHeight="1" x14ac:dyDescent="0.35">
      <c r="A69" s="17"/>
      <c r="B69" s="17"/>
      <c r="C69" s="17"/>
    </row>
    <row r="70" spans="1:3" ht="13.5" customHeight="1" x14ac:dyDescent="0.35">
      <c r="A70" s="17"/>
      <c r="B70" s="17"/>
      <c r="C70" s="17"/>
    </row>
    <row r="71" spans="1:3" ht="13.5" customHeight="1" x14ac:dyDescent="0.35">
      <c r="A71" s="17"/>
      <c r="B71" s="17"/>
      <c r="C71" s="17"/>
    </row>
    <row r="72" spans="1:3" ht="13.5" customHeight="1" x14ac:dyDescent="0.35">
      <c r="A72" s="17"/>
      <c r="B72" s="17"/>
      <c r="C72" s="17"/>
    </row>
    <row r="73" spans="1:3" ht="13.5" customHeight="1" x14ac:dyDescent="0.35">
      <c r="A73" s="17"/>
      <c r="B73" s="17"/>
      <c r="C73" s="17"/>
    </row>
    <row r="74" spans="1:3" ht="13.5" customHeight="1" x14ac:dyDescent="0.35">
      <c r="A74" s="17"/>
      <c r="B74" s="17"/>
      <c r="C74" s="17"/>
    </row>
    <row r="75" spans="1:3" ht="13.5" customHeight="1" x14ac:dyDescent="0.35">
      <c r="A75" s="17"/>
      <c r="B75" s="17"/>
      <c r="C75" s="17"/>
    </row>
    <row r="76" spans="1:3" ht="13.5" customHeight="1" x14ac:dyDescent="0.35">
      <c r="A76" s="17"/>
      <c r="B76" s="17"/>
      <c r="C76" s="17"/>
    </row>
    <row r="77" spans="1:3" ht="13.5" customHeight="1" x14ac:dyDescent="0.35">
      <c r="A77" s="17"/>
      <c r="B77" s="17"/>
      <c r="C77" s="17"/>
    </row>
    <row r="78" spans="1:3" ht="13.5" customHeight="1" x14ac:dyDescent="0.35">
      <c r="A78" s="17"/>
      <c r="B78" s="17"/>
      <c r="C78" s="17"/>
    </row>
    <row r="79" spans="1:3" ht="13.5" customHeight="1" x14ac:dyDescent="0.35">
      <c r="A79" s="17"/>
      <c r="B79" s="17"/>
      <c r="C79" s="17"/>
    </row>
    <row r="80" spans="1:3" ht="13.5" customHeight="1" x14ac:dyDescent="0.35">
      <c r="A80" s="17"/>
      <c r="B80" s="17"/>
      <c r="C80" s="17"/>
    </row>
    <row r="81" spans="1:3" ht="13.5" customHeight="1" x14ac:dyDescent="0.35">
      <c r="A81" s="17"/>
      <c r="B81" s="17"/>
      <c r="C81" s="17"/>
    </row>
    <row r="82" spans="1:3" ht="13.5" customHeight="1" x14ac:dyDescent="0.35">
      <c r="A82" s="17"/>
      <c r="B82" s="17"/>
      <c r="C82" s="17"/>
    </row>
    <row r="83" spans="1:3" ht="13.5" customHeight="1" x14ac:dyDescent="0.35">
      <c r="A83" s="17"/>
      <c r="B83" s="17"/>
      <c r="C83" s="17"/>
    </row>
    <row r="84" spans="1:3" ht="13.5" customHeight="1" x14ac:dyDescent="0.35">
      <c r="A84" s="17"/>
      <c r="B84" s="17"/>
      <c r="C84" s="17"/>
    </row>
    <row r="85" spans="1:3" ht="13.5" customHeight="1" x14ac:dyDescent="0.35">
      <c r="A85" s="17"/>
      <c r="B85" s="17"/>
      <c r="C85" s="17"/>
    </row>
    <row r="86" spans="1:3" ht="13.5" customHeight="1" x14ac:dyDescent="0.35">
      <c r="A86" s="17"/>
      <c r="B86" s="17"/>
      <c r="C86" s="17"/>
    </row>
    <row r="87" spans="1:3" ht="13.5" customHeight="1" x14ac:dyDescent="0.35">
      <c r="A87" s="17"/>
      <c r="B87" s="17"/>
      <c r="C87" s="17"/>
    </row>
    <row r="88" spans="1:3" ht="13.5" customHeight="1" x14ac:dyDescent="0.35">
      <c r="A88" s="17"/>
      <c r="B88" s="17"/>
      <c r="C88" s="17"/>
    </row>
    <row r="89" spans="1:3" ht="13.5" customHeight="1" x14ac:dyDescent="0.35">
      <c r="A89" s="17"/>
      <c r="B89" s="17"/>
      <c r="C89" s="17"/>
    </row>
    <row r="90" spans="1:3" ht="13.5" customHeight="1" x14ac:dyDescent="0.35">
      <c r="A90" s="17"/>
      <c r="B90" s="17"/>
      <c r="C90" s="17"/>
    </row>
    <row r="91" spans="1:3" ht="13.5" customHeight="1" x14ac:dyDescent="0.35">
      <c r="A91" s="17"/>
      <c r="B91" s="17"/>
      <c r="C91" s="17"/>
    </row>
    <row r="92" spans="1:3" ht="13.5" customHeight="1" x14ac:dyDescent="0.35">
      <c r="A92" s="17"/>
      <c r="B92" s="17"/>
      <c r="C92" s="17"/>
    </row>
    <row r="93" spans="1:3" ht="13.5" customHeight="1" x14ac:dyDescent="0.35">
      <c r="A93" s="17"/>
      <c r="B93" s="17"/>
      <c r="C93" s="17"/>
    </row>
    <row r="94" spans="1:3" ht="13.5" customHeight="1" x14ac:dyDescent="0.35">
      <c r="A94" s="17"/>
      <c r="B94" s="17"/>
      <c r="C94" s="17"/>
    </row>
    <row r="95" spans="1:3" ht="13.5" customHeight="1" x14ac:dyDescent="0.35">
      <c r="A95" s="17"/>
      <c r="B95" s="17"/>
      <c r="C95" s="17"/>
    </row>
    <row r="96" spans="1:3" ht="13.5" customHeight="1" x14ac:dyDescent="0.35">
      <c r="A96" s="17"/>
      <c r="B96" s="17"/>
      <c r="C96" s="17"/>
    </row>
    <row r="97" spans="1:3" ht="13.5" customHeight="1" x14ac:dyDescent="0.35">
      <c r="A97" s="17"/>
      <c r="B97" s="17"/>
      <c r="C97" s="17"/>
    </row>
    <row r="98" spans="1:3" ht="13.5" customHeight="1" x14ac:dyDescent="0.35">
      <c r="A98" s="17"/>
      <c r="B98" s="17"/>
      <c r="C98" s="17"/>
    </row>
    <row r="99" spans="1:3" ht="13.5" customHeight="1" x14ac:dyDescent="0.35">
      <c r="A99" s="17"/>
      <c r="B99" s="17"/>
      <c r="C99" s="17"/>
    </row>
    <row r="100" spans="1:3" ht="13.5" customHeight="1" x14ac:dyDescent="0.35">
      <c r="A100" s="17"/>
      <c r="B100" s="17"/>
      <c r="C100" s="17"/>
    </row>
    <row r="101" spans="1:3" ht="13.5" customHeight="1" x14ac:dyDescent="0.35">
      <c r="A101" s="17"/>
      <c r="B101" s="17"/>
      <c r="C101" s="17"/>
    </row>
    <row r="102" spans="1:3" ht="13.5" customHeight="1" x14ac:dyDescent="0.35">
      <c r="A102" s="17"/>
      <c r="B102" s="17"/>
      <c r="C102" s="17"/>
    </row>
    <row r="103" spans="1:3" ht="13.5" customHeight="1" x14ac:dyDescent="0.35">
      <c r="A103" s="17"/>
      <c r="B103" s="17"/>
      <c r="C103" s="17"/>
    </row>
    <row r="104" spans="1:3" ht="13.5" customHeight="1" x14ac:dyDescent="0.35">
      <c r="A104" s="17"/>
      <c r="B104" s="17"/>
      <c r="C104" s="17"/>
    </row>
    <row r="105" spans="1:3" ht="13.5" customHeight="1" x14ac:dyDescent="0.35">
      <c r="A105" s="17"/>
      <c r="B105" s="17"/>
      <c r="C105" s="17"/>
    </row>
    <row r="106" spans="1:3" ht="13.5" customHeight="1" x14ac:dyDescent="0.35">
      <c r="A106" s="17"/>
      <c r="B106" s="17"/>
      <c r="C106" s="17"/>
    </row>
    <row r="107" spans="1:3" ht="13.5" customHeight="1" x14ac:dyDescent="0.35">
      <c r="A107" s="17"/>
      <c r="B107" s="17"/>
      <c r="C107" s="17"/>
    </row>
    <row r="108" spans="1:3" ht="13.5" customHeight="1" x14ac:dyDescent="0.35">
      <c r="A108" s="17"/>
      <c r="B108" s="17"/>
      <c r="C108" s="17"/>
    </row>
    <row r="109" spans="1:3" ht="13.5" customHeight="1" x14ac:dyDescent="0.35">
      <c r="A109" s="17"/>
      <c r="B109" s="17"/>
      <c r="C109" s="17"/>
    </row>
    <row r="110" spans="1:3" ht="13.5" customHeight="1" x14ac:dyDescent="0.35">
      <c r="A110" s="17"/>
      <c r="B110" s="17"/>
      <c r="C110" s="17"/>
    </row>
    <row r="111" spans="1:3" ht="13.5" customHeight="1" x14ac:dyDescent="0.35">
      <c r="A111" s="17"/>
      <c r="B111" s="17"/>
      <c r="C111" s="17"/>
    </row>
    <row r="112" spans="1:3" ht="13.5" customHeight="1" x14ac:dyDescent="0.35">
      <c r="A112" s="17"/>
      <c r="B112" s="17"/>
      <c r="C112" s="17"/>
    </row>
    <row r="113" spans="1:3" ht="13.5" customHeight="1" x14ac:dyDescent="0.35">
      <c r="A113" s="17"/>
      <c r="B113" s="17"/>
      <c r="C113" s="17"/>
    </row>
    <row r="114" spans="1:3" ht="13.5" customHeight="1" x14ac:dyDescent="0.35">
      <c r="A114" s="17"/>
      <c r="B114" s="17"/>
      <c r="C114" s="17"/>
    </row>
    <row r="115" spans="1:3" ht="13.5" customHeight="1" x14ac:dyDescent="0.35">
      <c r="A115" s="17"/>
      <c r="B115" s="17"/>
      <c r="C115" s="17"/>
    </row>
    <row r="116" spans="1:3" ht="13.5" customHeight="1" x14ac:dyDescent="0.35">
      <c r="A116" s="17"/>
      <c r="B116" s="17"/>
      <c r="C116" s="17"/>
    </row>
    <row r="117" spans="1:3" ht="13.5" customHeight="1" x14ac:dyDescent="0.35">
      <c r="A117" s="17"/>
      <c r="B117" s="17"/>
      <c r="C117" s="17"/>
    </row>
    <row r="118" spans="1:3" ht="13.5" customHeight="1" x14ac:dyDescent="0.35">
      <c r="A118" s="17"/>
      <c r="B118" s="17"/>
      <c r="C118" s="17"/>
    </row>
    <row r="119" spans="1:3" ht="13.5" customHeight="1" x14ac:dyDescent="0.35">
      <c r="A119" s="17"/>
      <c r="B119" s="17"/>
      <c r="C119" s="17"/>
    </row>
    <row r="120" spans="1:3" ht="13.5" customHeight="1" x14ac:dyDescent="0.35">
      <c r="A120" s="17"/>
      <c r="B120" s="17"/>
      <c r="C120" s="17"/>
    </row>
    <row r="121" spans="1:3" ht="13.5" customHeight="1" x14ac:dyDescent="0.35">
      <c r="A121" s="17"/>
      <c r="B121" s="17"/>
      <c r="C121" s="17"/>
    </row>
    <row r="122" spans="1:3" ht="13.5" customHeight="1" x14ac:dyDescent="0.35">
      <c r="A122" s="17"/>
      <c r="B122" s="17"/>
      <c r="C122" s="17"/>
    </row>
    <row r="123" spans="1:3" ht="13.5" customHeight="1" x14ac:dyDescent="0.35">
      <c r="A123" s="17"/>
      <c r="B123" s="17"/>
      <c r="C123" s="17"/>
    </row>
    <row r="124" spans="1:3" ht="13.5" customHeight="1" x14ac:dyDescent="0.35">
      <c r="A124" s="17"/>
      <c r="B124" s="17"/>
      <c r="C124" s="17"/>
    </row>
    <row r="125" spans="1:3" ht="13.5" customHeight="1" x14ac:dyDescent="0.35">
      <c r="A125" s="17"/>
      <c r="B125" s="17"/>
      <c r="C125" s="17"/>
    </row>
    <row r="126" spans="1:3" ht="13.5" customHeight="1" x14ac:dyDescent="0.35">
      <c r="A126" s="17"/>
      <c r="B126" s="17"/>
      <c r="C126" s="17"/>
    </row>
    <row r="127" spans="1:3" ht="13.5" customHeight="1" x14ac:dyDescent="0.35">
      <c r="A127" s="17"/>
      <c r="B127" s="17"/>
      <c r="C127" s="17"/>
    </row>
    <row r="128" spans="1:3" ht="13.5" customHeight="1" x14ac:dyDescent="0.35">
      <c r="A128" s="17"/>
      <c r="B128" s="17"/>
      <c r="C128" s="17"/>
    </row>
    <row r="129" spans="1:3" ht="13.5" customHeight="1" x14ac:dyDescent="0.35">
      <c r="A129" s="17"/>
      <c r="B129" s="17"/>
      <c r="C129" s="17"/>
    </row>
    <row r="130" spans="1:3" ht="13.5" customHeight="1" x14ac:dyDescent="0.35">
      <c r="A130" s="17"/>
      <c r="B130" s="17"/>
      <c r="C130" s="17"/>
    </row>
    <row r="131" spans="1:3" ht="13.5" customHeight="1" x14ac:dyDescent="0.35">
      <c r="A131" s="17"/>
      <c r="B131" s="17"/>
      <c r="C131" s="17"/>
    </row>
    <row r="132" spans="1:3" ht="13.5" customHeight="1" x14ac:dyDescent="0.35">
      <c r="A132" s="17"/>
      <c r="B132" s="17"/>
      <c r="C132" s="17"/>
    </row>
    <row r="133" spans="1:3" ht="13.5" customHeight="1" x14ac:dyDescent="0.35">
      <c r="A133" s="17"/>
      <c r="B133" s="17"/>
      <c r="C133" s="17"/>
    </row>
    <row r="134" spans="1:3" ht="13.5" customHeight="1" x14ac:dyDescent="0.35">
      <c r="A134" s="17"/>
      <c r="B134" s="17"/>
      <c r="C134" s="17"/>
    </row>
    <row r="135" spans="1:3" ht="13.5" customHeight="1" x14ac:dyDescent="0.35">
      <c r="A135" s="17"/>
      <c r="B135" s="17"/>
      <c r="C135" s="17"/>
    </row>
    <row r="136" spans="1:3" ht="13.5" customHeight="1" x14ac:dyDescent="0.35">
      <c r="A136" s="17"/>
      <c r="B136" s="17"/>
      <c r="C136" s="17"/>
    </row>
    <row r="137" spans="1:3" ht="13.5" customHeight="1" x14ac:dyDescent="0.35">
      <c r="A137" s="17"/>
      <c r="B137" s="17"/>
      <c r="C137" s="17"/>
    </row>
    <row r="138" spans="1:3" ht="13.5" customHeight="1" x14ac:dyDescent="0.35">
      <c r="A138" s="17"/>
      <c r="B138" s="17"/>
      <c r="C138" s="17"/>
    </row>
    <row r="139" spans="1:3" ht="13.5" customHeight="1" x14ac:dyDescent="0.35">
      <c r="A139" s="17"/>
      <c r="B139" s="17"/>
      <c r="C139" s="17"/>
    </row>
    <row r="140" spans="1:3" ht="13.5" customHeight="1" x14ac:dyDescent="0.35">
      <c r="A140" s="17"/>
      <c r="B140" s="17"/>
      <c r="C140" s="17"/>
    </row>
    <row r="141" spans="1:3" ht="13.5" customHeight="1" x14ac:dyDescent="0.35">
      <c r="A141" s="17"/>
      <c r="B141" s="17"/>
      <c r="C141" s="17"/>
    </row>
    <row r="142" spans="1:3" ht="13.5" customHeight="1" x14ac:dyDescent="0.35">
      <c r="A142" s="17"/>
      <c r="B142" s="17"/>
      <c r="C142" s="17"/>
    </row>
    <row r="143" spans="1:3" ht="13.5" customHeight="1" x14ac:dyDescent="0.35">
      <c r="A143" s="17"/>
      <c r="B143" s="17"/>
      <c r="C143" s="17"/>
    </row>
    <row r="144" spans="1:3" ht="13.5" customHeight="1" x14ac:dyDescent="0.35">
      <c r="A144" s="17"/>
      <c r="B144" s="17"/>
      <c r="C144" s="17"/>
    </row>
    <row r="145" spans="1:3" ht="13.5" customHeight="1" x14ac:dyDescent="0.35">
      <c r="A145" s="17"/>
      <c r="B145" s="17"/>
      <c r="C145" s="17"/>
    </row>
    <row r="146" spans="1:3" ht="13.5" customHeight="1" x14ac:dyDescent="0.35">
      <c r="A146" s="17"/>
      <c r="B146" s="17"/>
      <c r="C146" s="17"/>
    </row>
    <row r="147" spans="1:3" ht="13.5" customHeight="1" x14ac:dyDescent="0.35">
      <c r="A147" s="17"/>
      <c r="B147" s="17"/>
      <c r="C147" s="17"/>
    </row>
    <row r="148" spans="1:3" ht="13.5" customHeight="1" x14ac:dyDescent="0.35">
      <c r="A148" s="17"/>
      <c r="B148" s="17"/>
      <c r="C148" s="17"/>
    </row>
    <row r="149" spans="1:3" ht="13.5" customHeight="1" x14ac:dyDescent="0.35">
      <c r="A149" s="17"/>
      <c r="B149" s="17"/>
      <c r="C149" s="17"/>
    </row>
    <row r="150" spans="1:3" ht="13.5" customHeight="1" x14ac:dyDescent="0.35">
      <c r="A150" s="17"/>
      <c r="B150" s="17"/>
      <c r="C150" s="17"/>
    </row>
    <row r="151" spans="1:3" ht="13.5" customHeight="1" x14ac:dyDescent="0.35">
      <c r="A151" s="17"/>
      <c r="B151" s="17"/>
      <c r="C151" s="17"/>
    </row>
    <row r="152" spans="1:3" ht="13.5" customHeight="1" x14ac:dyDescent="0.35">
      <c r="A152" s="17"/>
      <c r="B152" s="17"/>
      <c r="C152" s="17"/>
    </row>
    <row r="153" spans="1:3" ht="13.5" customHeight="1" x14ac:dyDescent="0.35">
      <c r="A153" s="17"/>
      <c r="B153" s="17"/>
      <c r="C153" s="17"/>
    </row>
    <row r="154" spans="1:3" ht="13.5" customHeight="1" x14ac:dyDescent="0.35">
      <c r="A154" s="17"/>
      <c r="B154" s="17"/>
      <c r="C154" s="17"/>
    </row>
    <row r="155" spans="1:3" ht="13.5" customHeight="1" x14ac:dyDescent="0.35">
      <c r="A155" s="17"/>
      <c r="B155" s="17"/>
      <c r="C155" s="17"/>
    </row>
    <row r="156" spans="1:3" ht="13.5" customHeight="1" x14ac:dyDescent="0.35">
      <c r="A156" s="17"/>
      <c r="B156" s="17"/>
      <c r="C156" s="17"/>
    </row>
    <row r="157" spans="1:3" ht="13.5" customHeight="1" x14ac:dyDescent="0.35">
      <c r="A157" s="17"/>
      <c r="B157" s="17"/>
      <c r="C157" s="17"/>
    </row>
    <row r="158" spans="1:3" ht="13.5" customHeight="1" x14ac:dyDescent="0.35">
      <c r="A158" s="17"/>
      <c r="B158" s="17"/>
      <c r="C158" s="17"/>
    </row>
    <row r="159" spans="1:3" ht="13.5" customHeight="1" x14ac:dyDescent="0.35">
      <c r="A159" s="17"/>
      <c r="B159" s="17"/>
      <c r="C159" s="17"/>
    </row>
    <row r="160" spans="1:3" ht="13.5" customHeight="1" x14ac:dyDescent="0.35">
      <c r="A160" s="17"/>
      <c r="B160" s="17"/>
      <c r="C160" s="17"/>
    </row>
    <row r="161" spans="1:3" ht="13.5" customHeight="1" x14ac:dyDescent="0.35">
      <c r="A161" s="17"/>
      <c r="B161" s="17"/>
      <c r="C161" s="17"/>
    </row>
    <row r="162" spans="1:3" ht="13.5" customHeight="1" x14ac:dyDescent="0.35">
      <c r="A162" s="17"/>
      <c r="B162" s="17"/>
      <c r="C162" s="17"/>
    </row>
    <row r="163" spans="1:3" ht="13.5" customHeight="1" x14ac:dyDescent="0.35">
      <c r="A163" s="17"/>
      <c r="B163" s="17"/>
      <c r="C163" s="17"/>
    </row>
    <row r="164" spans="1:3" ht="13.5" customHeight="1" x14ac:dyDescent="0.35">
      <c r="A164" s="17"/>
      <c r="B164" s="17"/>
      <c r="C164" s="17"/>
    </row>
    <row r="165" spans="1:3" ht="13.5" customHeight="1" x14ac:dyDescent="0.35">
      <c r="A165" s="17"/>
      <c r="B165" s="17"/>
      <c r="C165" s="17"/>
    </row>
    <row r="166" spans="1:3" ht="13.5" customHeight="1" x14ac:dyDescent="0.35">
      <c r="A166" s="17"/>
      <c r="B166" s="17"/>
      <c r="C166" s="17"/>
    </row>
    <row r="167" spans="1:3" ht="13.5" customHeight="1" x14ac:dyDescent="0.35">
      <c r="A167" s="17"/>
      <c r="B167" s="17"/>
      <c r="C167" s="17"/>
    </row>
    <row r="168" spans="1:3" ht="13.5" customHeight="1" x14ac:dyDescent="0.35">
      <c r="A168" s="17"/>
      <c r="B168" s="17"/>
      <c r="C168" s="17"/>
    </row>
    <row r="169" spans="1:3" ht="13.5" customHeight="1" x14ac:dyDescent="0.35">
      <c r="A169" s="17"/>
      <c r="B169" s="17"/>
      <c r="C169" s="17"/>
    </row>
    <row r="170" spans="1:3" ht="13.5" customHeight="1" x14ac:dyDescent="0.35">
      <c r="A170" s="17"/>
      <c r="B170" s="17"/>
      <c r="C170" s="17"/>
    </row>
    <row r="171" spans="1:3" ht="13.5" customHeight="1" x14ac:dyDescent="0.35">
      <c r="A171" s="17"/>
      <c r="B171" s="17"/>
      <c r="C171" s="17"/>
    </row>
    <row r="172" spans="1:3" ht="13.5" customHeight="1" x14ac:dyDescent="0.35">
      <c r="A172" s="17"/>
      <c r="B172" s="17"/>
      <c r="C172" s="17"/>
    </row>
    <row r="173" spans="1:3" ht="13.5" customHeight="1" x14ac:dyDescent="0.35">
      <c r="A173" s="17"/>
      <c r="B173" s="17"/>
      <c r="C173" s="17"/>
    </row>
    <row r="174" spans="1:3" ht="13.5" customHeight="1" x14ac:dyDescent="0.35">
      <c r="A174" s="17"/>
      <c r="B174" s="17"/>
      <c r="C174" s="17"/>
    </row>
    <row r="175" spans="1:3" ht="13.5" customHeight="1" x14ac:dyDescent="0.35">
      <c r="A175" s="17"/>
      <c r="B175" s="17"/>
      <c r="C175" s="17"/>
    </row>
    <row r="176" spans="1:3" ht="13.5" customHeight="1" x14ac:dyDescent="0.35">
      <c r="A176" s="17"/>
      <c r="B176" s="17"/>
      <c r="C176" s="17"/>
    </row>
    <row r="177" spans="1:3" ht="13.5" customHeight="1" x14ac:dyDescent="0.35">
      <c r="A177" s="17"/>
      <c r="B177" s="17"/>
      <c r="C177" s="17"/>
    </row>
    <row r="178" spans="1:3" ht="13.5" customHeight="1" x14ac:dyDescent="0.35">
      <c r="A178" s="17"/>
      <c r="B178" s="17"/>
      <c r="C178" s="17"/>
    </row>
    <row r="179" spans="1:3" ht="13.5" customHeight="1" x14ac:dyDescent="0.35">
      <c r="A179" s="17"/>
      <c r="B179" s="17"/>
      <c r="C179" s="17"/>
    </row>
    <row r="180" spans="1:3" ht="13.5" customHeight="1" x14ac:dyDescent="0.35">
      <c r="A180" s="17"/>
      <c r="B180" s="17"/>
      <c r="C180" s="17"/>
    </row>
    <row r="181" spans="1:3" ht="13.5" customHeight="1" x14ac:dyDescent="0.35">
      <c r="A181" s="17"/>
      <c r="B181" s="17"/>
      <c r="C181" s="17"/>
    </row>
    <row r="182" spans="1:3" ht="13.5" customHeight="1" x14ac:dyDescent="0.35">
      <c r="A182" s="17"/>
      <c r="B182" s="17"/>
      <c r="C182" s="17"/>
    </row>
    <row r="183" spans="1:3" ht="13.5" customHeight="1" x14ac:dyDescent="0.35">
      <c r="A183" s="17"/>
      <c r="B183" s="17"/>
      <c r="C183" s="17"/>
    </row>
    <row r="184" spans="1:3" ht="13.5" customHeight="1" x14ac:dyDescent="0.35">
      <c r="A184" s="17"/>
      <c r="B184" s="17"/>
      <c r="C184" s="17"/>
    </row>
    <row r="185" spans="1:3" ht="13.5" customHeight="1" x14ac:dyDescent="0.35">
      <c r="A185" s="17"/>
      <c r="B185" s="17"/>
      <c r="C185" s="17"/>
    </row>
    <row r="186" spans="1:3" ht="13.5" customHeight="1" x14ac:dyDescent="0.35">
      <c r="A186" s="17"/>
      <c r="B186" s="17"/>
      <c r="C186" s="17"/>
    </row>
    <row r="187" spans="1:3" ht="13.5" customHeight="1" x14ac:dyDescent="0.35">
      <c r="A187" s="17"/>
      <c r="B187" s="17"/>
      <c r="C187" s="17"/>
    </row>
    <row r="188" spans="1:3" ht="13.5" customHeight="1" x14ac:dyDescent="0.35">
      <c r="A188" s="17"/>
      <c r="B188" s="17"/>
      <c r="C188" s="17"/>
    </row>
    <row r="189" spans="1:3" ht="13.5" customHeight="1" x14ac:dyDescent="0.35">
      <c r="A189" s="17"/>
      <c r="B189" s="17"/>
      <c r="C189" s="17"/>
    </row>
    <row r="190" spans="1:3" ht="13.5" customHeight="1" x14ac:dyDescent="0.35">
      <c r="A190" s="17"/>
      <c r="B190" s="17"/>
      <c r="C190" s="17"/>
    </row>
    <row r="191" spans="1:3" ht="13.5" customHeight="1" x14ac:dyDescent="0.35">
      <c r="A191" s="17"/>
      <c r="B191" s="17"/>
      <c r="C191" s="17"/>
    </row>
    <row r="192" spans="1:3" ht="13.5" customHeight="1" x14ac:dyDescent="0.35">
      <c r="A192" s="17"/>
      <c r="B192" s="17"/>
      <c r="C192" s="17"/>
    </row>
    <row r="193" spans="1:3" ht="13.5" customHeight="1" x14ac:dyDescent="0.35">
      <c r="A193" s="17"/>
      <c r="B193" s="17"/>
      <c r="C193" s="17"/>
    </row>
    <row r="194" spans="1:3" ht="13.5" customHeight="1" x14ac:dyDescent="0.35">
      <c r="A194" s="17"/>
      <c r="B194" s="17"/>
      <c r="C194" s="17"/>
    </row>
    <row r="195" spans="1:3" ht="13.5" customHeight="1" x14ac:dyDescent="0.35">
      <c r="A195" s="17"/>
      <c r="B195" s="17"/>
      <c r="C195" s="17"/>
    </row>
    <row r="196" spans="1:3" ht="13.5" customHeight="1" x14ac:dyDescent="0.35">
      <c r="A196" s="17"/>
      <c r="B196" s="17"/>
      <c r="C196" s="17"/>
    </row>
    <row r="197" spans="1:3" ht="13.5" customHeight="1" x14ac:dyDescent="0.35">
      <c r="A197" s="17"/>
      <c r="B197" s="17"/>
      <c r="C197" s="17"/>
    </row>
    <row r="198" spans="1:3" ht="13.5" customHeight="1" x14ac:dyDescent="0.35">
      <c r="A198" s="17"/>
      <c r="B198" s="17"/>
      <c r="C198" s="17"/>
    </row>
    <row r="199" spans="1:3" ht="13.5" customHeight="1" x14ac:dyDescent="0.35">
      <c r="A199" s="17"/>
      <c r="B199" s="17"/>
      <c r="C199" s="17"/>
    </row>
    <row r="200" spans="1:3" ht="13.5" customHeight="1" x14ac:dyDescent="0.35">
      <c r="A200" s="17"/>
      <c r="B200" s="17"/>
      <c r="C200" s="17"/>
    </row>
    <row r="201" spans="1:3" ht="13.5" customHeight="1" x14ac:dyDescent="0.35">
      <c r="A201" s="17"/>
      <c r="B201" s="17"/>
      <c r="C201" s="17"/>
    </row>
    <row r="202" spans="1:3" ht="13.5" customHeight="1" x14ac:dyDescent="0.35">
      <c r="A202" s="17"/>
      <c r="B202" s="17"/>
      <c r="C202" s="17"/>
    </row>
    <row r="203" spans="1:3" ht="13.5" customHeight="1" x14ac:dyDescent="0.35">
      <c r="A203" s="17"/>
      <c r="B203" s="17"/>
      <c r="C203" s="17"/>
    </row>
    <row r="204" spans="1:3" ht="13.5" customHeight="1" x14ac:dyDescent="0.35">
      <c r="A204" s="17"/>
      <c r="B204" s="17"/>
      <c r="C204" s="17"/>
    </row>
    <row r="205" spans="1:3" ht="13.5" customHeight="1" x14ac:dyDescent="0.35">
      <c r="A205" s="17"/>
      <c r="B205" s="17"/>
      <c r="C205" s="17"/>
    </row>
    <row r="206" spans="1:3" ht="13.5" customHeight="1" x14ac:dyDescent="0.35">
      <c r="A206" s="17"/>
      <c r="B206" s="17"/>
      <c r="C206" s="17"/>
    </row>
    <row r="207" spans="1:3" ht="13.5" customHeight="1" x14ac:dyDescent="0.35">
      <c r="A207" s="17"/>
      <c r="B207" s="17"/>
      <c r="C207" s="17"/>
    </row>
    <row r="208" spans="1:3" ht="13.5" customHeight="1" x14ac:dyDescent="0.35">
      <c r="A208" s="17"/>
      <c r="B208" s="17"/>
      <c r="C208" s="17"/>
    </row>
    <row r="209" spans="1:3" ht="13.5" customHeight="1" x14ac:dyDescent="0.35">
      <c r="A209" s="17"/>
      <c r="B209" s="17"/>
      <c r="C209" s="17"/>
    </row>
    <row r="210" spans="1:3" ht="13.5" customHeight="1" x14ac:dyDescent="0.35">
      <c r="A210" s="17"/>
      <c r="B210" s="17"/>
      <c r="C210" s="17"/>
    </row>
    <row r="211" spans="1:3" ht="13.5" customHeight="1" x14ac:dyDescent="0.35">
      <c r="A211" s="17"/>
      <c r="B211" s="17"/>
      <c r="C211" s="17"/>
    </row>
    <row r="212" spans="1:3" ht="13.5" customHeight="1" x14ac:dyDescent="0.35">
      <c r="A212" s="17"/>
      <c r="B212" s="17"/>
      <c r="C212" s="17"/>
    </row>
    <row r="213" spans="1:3" ht="13.5" customHeight="1" x14ac:dyDescent="0.35">
      <c r="A213" s="17"/>
      <c r="B213" s="17"/>
      <c r="C213" s="17"/>
    </row>
    <row r="214" spans="1:3" ht="13.5" customHeight="1" x14ac:dyDescent="0.35">
      <c r="A214" s="17"/>
      <c r="B214" s="17"/>
      <c r="C214" s="17"/>
    </row>
    <row r="215" spans="1:3" ht="13.5" customHeight="1" x14ac:dyDescent="0.35">
      <c r="A215" s="17"/>
      <c r="B215" s="17"/>
      <c r="C215" s="17"/>
    </row>
    <row r="216" spans="1:3" ht="13.5" customHeight="1" x14ac:dyDescent="0.35">
      <c r="A216" s="17"/>
      <c r="B216" s="17"/>
      <c r="C216" s="17"/>
    </row>
    <row r="217" spans="1:3" ht="13.5" customHeight="1" x14ac:dyDescent="0.35">
      <c r="A217" s="17"/>
      <c r="B217" s="17"/>
      <c r="C217" s="17"/>
    </row>
    <row r="218" spans="1:3" ht="13.5" customHeight="1" x14ac:dyDescent="0.35">
      <c r="A218" s="17"/>
      <c r="B218" s="17"/>
      <c r="C218" s="17"/>
    </row>
    <row r="219" spans="1:3" ht="13.5" customHeight="1" x14ac:dyDescent="0.35">
      <c r="A219" s="17"/>
      <c r="B219" s="17"/>
      <c r="C219" s="17"/>
    </row>
    <row r="220" spans="1:3" ht="13.5" customHeight="1" x14ac:dyDescent="0.35">
      <c r="A220" s="17"/>
      <c r="B220" s="17"/>
      <c r="C220" s="17"/>
    </row>
    <row r="221" spans="1:3" ht="13.5" customHeight="1" x14ac:dyDescent="0.35">
      <c r="A221" s="17"/>
      <c r="B221" s="17"/>
      <c r="C221" s="17"/>
    </row>
    <row r="222" spans="1:3" ht="13.5" customHeight="1" x14ac:dyDescent="0.35">
      <c r="A222" s="17"/>
      <c r="B222" s="17"/>
      <c r="C222" s="17"/>
    </row>
    <row r="223" spans="1:3" ht="13.5" customHeight="1" x14ac:dyDescent="0.35">
      <c r="A223" s="17"/>
      <c r="B223" s="17"/>
      <c r="C223" s="17"/>
    </row>
    <row r="224" spans="1:3" ht="13.5" customHeight="1" x14ac:dyDescent="0.35">
      <c r="A224" s="17"/>
      <c r="B224" s="17"/>
      <c r="C224" s="17"/>
    </row>
    <row r="225" spans="1:3" ht="13.5" customHeight="1" x14ac:dyDescent="0.35">
      <c r="A225" s="17"/>
      <c r="B225" s="17"/>
      <c r="C225" s="17"/>
    </row>
    <row r="226" spans="1:3" ht="13.5" customHeight="1" x14ac:dyDescent="0.35">
      <c r="A226" s="17"/>
      <c r="B226" s="17"/>
      <c r="C226" s="17"/>
    </row>
    <row r="227" spans="1:3" ht="13.5" customHeight="1" x14ac:dyDescent="0.35">
      <c r="A227" s="17"/>
      <c r="B227" s="17"/>
      <c r="C227" s="17"/>
    </row>
    <row r="228" spans="1:3" ht="13.5" customHeight="1" x14ac:dyDescent="0.35">
      <c r="A228" s="17"/>
      <c r="B228" s="17"/>
      <c r="C228" s="17"/>
    </row>
    <row r="229" spans="1:3" ht="13.5" customHeight="1" x14ac:dyDescent="0.35">
      <c r="A229" s="17"/>
      <c r="B229" s="17"/>
      <c r="C229" s="17"/>
    </row>
    <row r="230" spans="1:3" ht="13.5" customHeight="1" x14ac:dyDescent="0.35">
      <c r="A230" s="17"/>
      <c r="B230" s="17"/>
      <c r="C230" s="17"/>
    </row>
    <row r="231" spans="1:3" ht="13.5" customHeight="1" x14ac:dyDescent="0.35">
      <c r="A231" s="17"/>
      <c r="B231" s="17"/>
      <c r="C231" s="17"/>
    </row>
    <row r="232" spans="1:3" ht="13.5" customHeight="1" x14ac:dyDescent="0.35">
      <c r="A232" s="17"/>
      <c r="B232" s="17"/>
      <c r="C232" s="17"/>
    </row>
    <row r="233" spans="1:3" ht="13.5" customHeight="1" x14ac:dyDescent="0.35">
      <c r="A233" s="17"/>
      <c r="B233" s="17"/>
      <c r="C233" s="17"/>
    </row>
    <row r="234" spans="1:3" ht="13.5" customHeight="1" x14ac:dyDescent="0.35">
      <c r="A234" s="17"/>
      <c r="B234" s="17"/>
      <c r="C234" s="17"/>
    </row>
    <row r="235" spans="1:3" ht="13.5" customHeight="1" x14ac:dyDescent="0.35">
      <c r="A235" s="17"/>
      <c r="B235" s="17"/>
      <c r="C235" s="17"/>
    </row>
    <row r="236" spans="1:3" ht="13.5" customHeight="1" x14ac:dyDescent="0.35">
      <c r="A236" s="17"/>
      <c r="B236" s="17"/>
      <c r="C236" s="17"/>
    </row>
    <row r="237" spans="1:3" ht="13.5" customHeight="1" x14ac:dyDescent="0.35">
      <c r="A237" s="17"/>
      <c r="B237" s="17"/>
      <c r="C237" s="17"/>
    </row>
    <row r="238" spans="1:3" ht="13.5" customHeight="1" x14ac:dyDescent="0.35">
      <c r="A238" s="17"/>
      <c r="B238" s="17"/>
      <c r="C238" s="17"/>
    </row>
    <row r="239" spans="1:3" ht="13.5" customHeight="1" x14ac:dyDescent="0.35">
      <c r="A239" s="17"/>
      <c r="B239" s="17"/>
      <c r="C239" s="17"/>
    </row>
    <row r="240" spans="1:3" ht="13.5" customHeight="1" x14ac:dyDescent="0.35">
      <c r="A240" s="17"/>
      <c r="B240" s="17"/>
      <c r="C240" s="17"/>
    </row>
    <row r="241" spans="1:3" ht="13.5" customHeight="1" x14ac:dyDescent="0.35">
      <c r="A241" s="17"/>
      <c r="B241" s="17"/>
      <c r="C241" s="17"/>
    </row>
    <row r="242" spans="1:3" ht="13.5" customHeight="1" x14ac:dyDescent="0.35">
      <c r="A242" s="17"/>
      <c r="B242" s="17"/>
      <c r="C242" s="17"/>
    </row>
    <row r="243" spans="1:3" ht="13.5" customHeight="1" x14ac:dyDescent="0.35">
      <c r="A243" s="17"/>
      <c r="B243" s="17"/>
      <c r="C243" s="17"/>
    </row>
    <row r="244" spans="1:3" ht="13.5" customHeight="1" x14ac:dyDescent="0.35">
      <c r="A244" s="17"/>
      <c r="B244" s="17"/>
      <c r="C244" s="17"/>
    </row>
    <row r="245" spans="1:3" ht="13.5" customHeight="1" x14ac:dyDescent="0.35">
      <c r="A245" s="17"/>
      <c r="B245" s="17"/>
      <c r="C245" s="17"/>
    </row>
    <row r="246" spans="1:3" ht="13.5" customHeight="1" x14ac:dyDescent="0.35">
      <c r="A246" s="17"/>
      <c r="B246" s="17"/>
      <c r="C246" s="17"/>
    </row>
    <row r="247" spans="1:3" ht="13.5" customHeight="1" x14ac:dyDescent="0.35">
      <c r="A247" s="17"/>
      <c r="B247" s="17"/>
      <c r="C247" s="17"/>
    </row>
    <row r="248" spans="1:3" ht="13.5" customHeight="1" x14ac:dyDescent="0.35">
      <c r="A248" s="17"/>
      <c r="B248" s="17"/>
      <c r="C248" s="17"/>
    </row>
    <row r="249" spans="1:3" ht="13.5" customHeight="1" x14ac:dyDescent="0.35">
      <c r="A249" s="17"/>
      <c r="B249" s="17"/>
      <c r="C249" s="17"/>
    </row>
    <row r="250" spans="1:3" ht="13.5" customHeight="1" x14ac:dyDescent="0.35">
      <c r="A250" s="17"/>
      <c r="B250" s="17"/>
      <c r="C250" s="17"/>
    </row>
    <row r="251" spans="1:3" ht="13.5" customHeight="1" x14ac:dyDescent="0.35">
      <c r="A251" s="17"/>
      <c r="B251" s="17"/>
      <c r="C251" s="17"/>
    </row>
    <row r="252" spans="1:3" ht="13.5" customHeight="1" x14ac:dyDescent="0.35">
      <c r="A252" s="17"/>
      <c r="B252" s="17"/>
      <c r="C252" s="17"/>
    </row>
    <row r="253" spans="1:3" ht="13.5" customHeight="1" x14ac:dyDescent="0.35">
      <c r="A253" s="17"/>
      <c r="B253" s="17"/>
      <c r="C253" s="17"/>
    </row>
    <row r="254" spans="1:3" ht="13.5" customHeight="1" x14ac:dyDescent="0.35">
      <c r="A254" s="17"/>
      <c r="B254" s="17"/>
      <c r="C254" s="17"/>
    </row>
    <row r="255" spans="1:3" ht="13.5" customHeight="1" x14ac:dyDescent="0.35">
      <c r="A255" s="17"/>
      <c r="B255" s="17"/>
      <c r="C255" s="17"/>
    </row>
    <row r="256" spans="1:3" ht="13.5" customHeight="1" x14ac:dyDescent="0.35">
      <c r="A256" s="17"/>
      <c r="B256" s="17"/>
      <c r="C256" s="17"/>
    </row>
    <row r="257" spans="1:3" ht="13.5" customHeight="1" x14ac:dyDescent="0.35">
      <c r="A257" s="17"/>
      <c r="B257" s="17"/>
      <c r="C257" s="17"/>
    </row>
    <row r="258" spans="1:3" ht="13.5" customHeight="1" x14ac:dyDescent="0.35">
      <c r="A258" s="17"/>
      <c r="B258" s="17"/>
      <c r="C258" s="17"/>
    </row>
    <row r="259" spans="1:3" ht="13.5" customHeight="1" x14ac:dyDescent="0.35">
      <c r="A259" s="17"/>
      <c r="B259" s="17"/>
      <c r="C259" s="17"/>
    </row>
    <row r="260" spans="1:3" ht="13.5" customHeight="1" x14ac:dyDescent="0.35">
      <c r="A260" s="17"/>
      <c r="B260" s="17"/>
      <c r="C260" s="17"/>
    </row>
    <row r="261" spans="1:3" ht="13.5" customHeight="1" x14ac:dyDescent="0.35">
      <c r="A261" s="17"/>
      <c r="B261" s="17"/>
      <c r="C261" s="17"/>
    </row>
    <row r="262" spans="1:3" ht="13.5" customHeight="1" x14ac:dyDescent="0.35">
      <c r="A262" s="17"/>
      <c r="B262" s="17"/>
      <c r="C262" s="17"/>
    </row>
    <row r="263" spans="1:3" ht="13.5" customHeight="1" x14ac:dyDescent="0.35">
      <c r="A263" s="17"/>
      <c r="B263" s="17"/>
      <c r="C263" s="17"/>
    </row>
    <row r="264" spans="1:3" ht="13.5" customHeight="1" x14ac:dyDescent="0.35">
      <c r="A264" s="17"/>
      <c r="B264" s="17"/>
      <c r="C264" s="17"/>
    </row>
    <row r="265" spans="1:3" ht="13.5" customHeight="1" x14ac:dyDescent="0.35">
      <c r="A265" s="17"/>
      <c r="B265" s="17"/>
      <c r="C265" s="17"/>
    </row>
    <row r="266" spans="1:3" ht="13.5" customHeight="1" x14ac:dyDescent="0.35">
      <c r="A266" s="17"/>
      <c r="B266" s="17"/>
      <c r="C266" s="17"/>
    </row>
    <row r="267" spans="1:3" ht="13.5" customHeight="1" x14ac:dyDescent="0.35">
      <c r="A267" s="17"/>
      <c r="B267" s="17"/>
      <c r="C267" s="17"/>
    </row>
    <row r="268" spans="1:3" ht="13.5" customHeight="1" x14ac:dyDescent="0.35">
      <c r="A268" s="17"/>
      <c r="B268" s="17"/>
      <c r="C268" s="17"/>
    </row>
    <row r="269" spans="1:3" ht="13.5" customHeight="1" x14ac:dyDescent="0.35">
      <c r="A269" s="17"/>
      <c r="B269" s="17"/>
      <c r="C269" s="17"/>
    </row>
    <row r="270" spans="1:3" ht="13.5" customHeight="1" x14ac:dyDescent="0.35">
      <c r="A270" s="17"/>
      <c r="B270" s="17"/>
      <c r="C270" s="17"/>
    </row>
    <row r="271" spans="1:3" ht="13.5" customHeight="1" x14ac:dyDescent="0.35">
      <c r="A271" s="17"/>
      <c r="B271" s="17"/>
      <c r="C271" s="17"/>
    </row>
    <row r="272" spans="1:3" ht="13.5" customHeight="1" x14ac:dyDescent="0.35">
      <c r="A272" s="17"/>
      <c r="B272" s="17"/>
      <c r="C272" s="17"/>
    </row>
    <row r="273" spans="1:3" ht="13.5" customHeight="1" x14ac:dyDescent="0.35">
      <c r="A273" s="17"/>
      <c r="B273" s="17"/>
      <c r="C273" s="17"/>
    </row>
    <row r="274" spans="1:3" ht="13.5" customHeight="1" x14ac:dyDescent="0.35">
      <c r="A274" s="17"/>
      <c r="B274" s="17"/>
      <c r="C274" s="17"/>
    </row>
    <row r="275" spans="1:3" ht="13.5" customHeight="1" x14ac:dyDescent="0.35">
      <c r="A275" s="17"/>
      <c r="B275" s="17"/>
      <c r="C275" s="17"/>
    </row>
    <row r="276" spans="1:3" ht="13.5" customHeight="1" x14ac:dyDescent="0.35">
      <c r="A276" s="17"/>
      <c r="B276" s="17"/>
      <c r="C276" s="17"/>
    </row>
    <row r="277" spans="1:3" ht="13.5" customHeight="1" x14ac:dyDescent="0.35">
      <c r="A277" s="17"/>
      <c r="B277" s="17"/>
      <c r="C277" s="17"/>
    </row>
    <row r="278" spans="1:3" ht="13.5" customHeight="1" x14ac:dyDescent="0.35">
      <c r="A278" s="17"/>
      <c r="B278" s="17"/>
      <c r="C278" s="17"/>
    </row>
    <row r="279" spans="1:3" ht="13.5" customHeight="1" x14ac:dyDescent="0.35">
      <c r="A279" s="17"/>
      <c r="B279" s="17"/>
      <c r="C279" s="17"/>
    </row>
    <row r="280" spans="1:3" ht="13.5" customHeight="1" x14ac:dyDescent="0.35">
      <c r="A280" s="17"/>
      <c r="B280" s="17"/>
      <c r="C280" s="17"/>
    </row>
    <row r="281" spans="1:3" ht="13.5" customHeight="1" x14ac:dyDescent="0.35">
      <c r="A281" s="17"/>
      <c r="B281" s="17"/>
      <c r="C281" s="17"/>
    </row>
    <row r="282" spans="1:3" ht="13.5" customHeight="1" x14ac:dyDescent="0.35">
      <c r="A282" s="17"/>
      <c r="B282" s="17"/>
      <c r="C282" s="17"/>
    </row>
    <row r="283" spans="1:3" ht="13.5" customHeight="1" x14ac:dyDescent="0.35">
      <c r="A283" s="17"/>
      <c r="B283" s="17"/>
      <c r="C283" s="17"/>
    </row>
    <row r="284" spans="1:3" ht="13.5" customHeight="1" x14ac:dyDescent="0.35">
      <c r="A284" s="17"/>
      <c r="B284" s="17"/>
      <c r="C284" s="17"/>
    </row>
    <row r="285" spans="1:3" ht="13.5" customHeight="1" x14ac:dyDescent="0.35">
      <c r="A285" s="17"/>
      <c r="B285" s="17"/>
      <c r="C285" s="17"/>
    </row>
    <row r="286" spans="1:3" ht="13.5" customHeight="1" x14ac:dyDescent="0.35">
      <c r="A286" s="17"/>
      <c r="B286" s="17"/>
      <c r="C286" s="17"/>
    </row>
    <row r="287" spans="1:3" ht="13.5" customHeight="1" x14ac:dyDescent="0.35">
      <c r="A287" s="17"/>
      <c r="B287" s="17"/>
      <c r="C287" s="17"/>
    </row>
    <row r="288" spans="1:3" ht="13.5" customHeight="1" x14ac:dyDescent="0.35">
      <c r="A288" s="17"/>
      <c r="B288" s="17"/>
      <c r="C288" s="17"/>
    </row>
    <row r="289" spans="1:3" ht="13.5" customHeight="1" x14ac:dyDescent="0.35">
      <c r="A289" s="17"/>
      <c r="B289" s="17"/>
      <c r="C289" s="17"/>
    </row>
    <row r="290" spans="1:3" ht="13.5" customHeight="1" x14ac:dyDescent="0.35">
      <c r="A290" s="17"/>
      <c r="B290" s="17"/>
      <c r="C290" s="17"/>
    </row>
    <row r="291" spans="1:3" ht="13.5" customHeight="1" x14ac:dyDescent="0.35">
      <c r="A291" s="17"/>
      <c r="B291" s="17"/>
      <c r="C291" s="17"/>
    </row>
    <row r="292" spans="1:3" ht="13.5" customHeight="1" x14ac:dyDescent="0.35">
      <c r="A292" s="17"/>
      <c r="B292" s="17"/>
      <c r="C292" s="17"/>
    </row>
    <row r="293" spans="1:3" ht="13.5" customHeight="1" x14ac:dyDescent="0.35">
      <c r="A293" s="17"/>
      <c r="B293" s="17"/>
      <c r="C293" s="17"/>
    </row>
    <row r="294" spans="1:3" ht="13.5" customHeight="1" x14ac:dyDescent="0.35">
      <c r="A294" s="17"/>
      <c r="B294" s="17"/>
      <c r="C294" s="17"/>
    </row>
    <row r="295" spans="1:3" ht="13.5" customHeight="1" x14ac:dyDescent="0.35">
      <c r="A295" s="17"/>
      <c r="B295" s="17"/>
      <c r="C295" s="17"/>
    </row>
    <row r="296" spans="1:3" ht="13.5" customHeight="1" x14ac:dyDescent="0.35">
      <c r="A296" s="17"/>
      <c r="B296" s="17"/>
      <c r="C296" s="17"/>
    </row>
    <row r="297" spans="1:3" ht="13.5" customHeight="1" x14ac:dyDescent="0.35">
      <c r="A297" s="17"/>
      <c r="B297" s="17"/>
      <c r="C297" s="17"/>
    </row>
    <row r="298" spans="1:3" ht="13.5" customHeight="1" x14ac:dyDescent="0.35">
      <c r="A298" s="17"/>
      <c r="B298" s="17"/>
      <c r="C298" s="17"/>
    </row>
    <row r="299" spans="1:3" ht="13.5" customHeight="1" x14ac:dyDescent="0.35">
      <c r="A299" s="17"/>
      <c r="B299" s="17"/>
      <c r="C299" s="17"/>
    </row>
    <row r="300" spans="1:3" ht="13.5" customHeight="1" x14ac:dyDescent="0.35">
      <c r="A300" s="17"/>
      <c r="B300" s="17"/>
      <c r="C300" s="17"/>
    </row>
    <row r="301" spans="1:3" ht="13.5" customHeight="1" x14ac:dyDescent="0.35">
      <c r="A301" s="17"/>
      <c r="B301" s="17"/>
      <c r="C301" s="17"/>
    </row>
    <row r="302" spans="1:3" ht="13.5" customHeight="1" x14ac:dyDescent="0.35">
      <c r="A302" s="17"/>
      <c r="B302" s="17"/>
      <c r="C302" s="17"/>
    </row>
    <row r="303" spans="1:3" ht="13.5" customHeight="1" x14ac:dyDescent="0.35">
      <c r="A303" s="17"/>
      <c r="B303" s="17"/>
      <c r="C303" s="17"/>
    </row>
    <row r="304" spans="1:3" ht="13.5" customHeight="1" x14ac:dyDescent="0.35">
      <c r="A304" s="17"/>
      <c r="B304" s="17"/>
      <c r="C304" s="17"/>
    </row>
    <row r="305" spans="1:3" ht="13.5" customHeight="1" x14ac:dyDescent="0.35">
      <c r="A305" s="17"/>
      <c r="B305" s="17"/>
      <c r="C305" s="17"/>
    </row>
    <row r="306" spans="1:3" ht="13.5" customHeight="1" x14ac:dyDescent="0.35">
      <c r="A306" s="17"/>
      <c r="B306" s="17"/>
      <c r="C306" s="17"/>
    </row>
    <row r="307" spans="1:3" ht="13.5" customHeight="1" x14ac:dyDescent="0.35">
      <c r="A307" s="17"/>
      <c r="B307" s="17"/>
      <c r="C307" s="17"/>
    </row>
    <row r="308" spans="1:3" ht="13.5" customHeight="1" x14ac:dyDescent="0.35">
      <c r="A308" s="17"/>
      <c r="B308" s="17"/>
      <c r="C308" s="17"/>
    </row>
    <row r="309" spans="1:3" ht="13.5" customHeight="1" x14ac:dyDescent="0.35">
      <c r="A309" s="17"/>
      <c r="B309" s="17"/>
      <c r="C309" s="17"/>
    </row>
    <row r="310" spans="1:3" ht="13.5" customHeight="1" x14ac:dyDescent="0.35">
      <c r="A310" s="17"/>
      <c r="B310" s="17"/>
      <c r="C310" s="17"/>
    </row>
    <row r="311" spans="1:3" ht="13.5" customHeight="1" x14ac:dyDescent="0.35">
      <c r="A311" s="17"/>
      <c r="B311" s="17"/>
      <c r="C311" s="17"/>
    </row>
    <row r="312" spans="1:3" ht="13.5" customHeight="1" x14ac:dyDescent="0.35">
      <c r="A312" s="17"/>
      <c r="B312" s="17"/>
      <c r="C312" s="17"/>
    </row>
    <row r="313" spans="1:3" ht="13.5" customHeight="1" x14ac:dyDescent="0.35">
      <c r="A313" s="17"/>
      <c r="B313" s="17"/>
      <c r="C313" s="17"/>
    </row>
    <row r="314" spans="1:3" ht="13.5" customHeight="1" x14ac:dyDescent="0.35">
      <c r="A314" s="17"/>
      <c r="B314" s="17"/>
      <c r="C314" s="17"/>
    </row>
    <row r="315" spans="1:3" ht="13.5" customHeight="1" x14ac:dyDescent="0.35">
      <c r="A315" s="17"/>
      <c r="B315" s="17"/>
      <c r="C315" s="17"/>
    </row>
    <row r="316" spans="1:3" ht="13.5" customHeight="1" x14ac:dyDescent="0.35">
      <c r="A316" s="17"/>
      <c r="B316" s="17"/>
      <c r="C316" s="17"/>
    </row>
    <row r="317" spans="1:3" ht="13.5" customHeight="1" x14ac:dyDescent="0.35">
      <c r="A317" s="17"/>
      <c r="B317" s="17"/>
      <c r="C317" s="17"/>
    </row>
    <row r="318" spans="1:3" ht="13.5" customHeight="1" x14ac:dyDescent="0.35">
      <c r="A318" s="17"/>
      <c r="B318" s="17"/>
      <c r="C318" s="17"/>
    </row>
    <row r="319" spans="1:3" ht="13.5" customHeight="1" x14ac:dyDescent="0.35">
      <c r="A319" s="17"/>
      <c r="B319" s="17"/>
      <c r="C319" s="17"/>
    </row>
    <row r="320" spans="1:3" ht="13.5" customHeight="1" x14ac:dyDescent="0.35">
      <c r="A320" s="17"/>
      <c r="B320" s="17"/>
      <c r="C320" s="17"/>
    </row>
    <row r="321" spans="1:3" ht="13.5" customHeight="1" x14ac:dyDescent="0.35">
      <c r="A321" s="17"/>
      <c r="B321" s="17"/>
      <c r="C321" s="17"/>
    </row>
    <row r="322" spans="1:3" ht="13.5" customHeight="1" x14ac:dyDescent="0.35">
      <c r="A322" s="17"/>
      <c r="B322" s="17"/>
      <c r="C322" s="17"/>
    </row>
    <row r="323" spans="1:3" ht="13.5" customHeight="1" x14ac:dyDescent="0.35">
      <c r="A323" s="17"/>
      <c r="B323" s="17"/>
      <c r="C323" s="17"/>
    </row>
    <row r="324" spans="1:3" ht="13.5" customHeight="1" x14ac:dyDescent="0.35">
      <c r="A324" s="17"/>
      <c r="B324" s="17"/>
      <c r="C324" s="17"/>
    </row>
    <row r="325" spans="1:3" ht="13.5" customHeight="1" x14ac:dyDescent="0.35">
      <c r="A325" s="17"/>
      <c r="B325" s="17"/>
      <c r="C325" s="17"/>
    </row>
    <row r="326" spans="1:3" ht="13.5" customHeight="1" x14ac:dyDescent="0.35">
      <c r="A326" s="17"/>
      <c r="B326" s="17"/>
      <c r="C326" s="17"/>
    </row>
    <row r="327" spans="1:3" ht="13.5" customHeight="1" x14ac:dyDescent="0.35">
      <c r="A327" s="17"/>
      <c r="B327" s="17"/>
      <c r="C327" s="17"/>
    </row>
    <row r="328" spans="1:3" ht="13.5" customHeight="1" x14ac:dyDescent="0.35">
      <c r="A328" s="17"/>
      <c r="B328" s="17"/>
      <c r="C328" s="17"/>
    </row>
    <row r="329" spans="1:3" ht="13.5" customHeight="1" x14ac:dyDescent="0.35">
      <c r="A329" s="17"/>
      <c r="B329" s="17"/>
      <c r="C329" s="17"/>
    </row>
    <row r="330" spans="1:3" ht="13.5" customHeight="1" x14ac:dyDescent="0.35">
      <c r="A330" s="17"/>
      <c r="B330" s="17"/>
      <c r="C330" s="17"/>
    </row>
    <row r="331" spans="1:3" ht="13.5" customHeight="1" x14ac:dyDescent="0.35">
      <c r="A331" s="17"/>
      <c r="B331" s="17"/>
      <c r="C331" s="17"/>
    </row>
    <row r="332" spans="1:3" ht="13.5" customHeight="1" x14ac:dyDescent="0.35">
      <c r="A332" s="17"/>
      <c r="B332" s="17"/>
      <c r="C332" s="17"/>
    </row>
    <row r="333" spans="1:3" ht="13.5" customHeight="1" x14ac:dyDescent="0.35">
      <c r="A333" s="17"/>
      <c r="B333" s="17"/>
      <c r="C333" s="17"/>
    </row>
    <row r="334" spans="1:3" ht="13.5" customHeight="1" x14ac:dyDescent="0.35">
      <c r="A334" s="17"/>
      <c r="B334" s="17"/>
      <c r="C334" s="17"/>
    </row>
    <row r="335" spans="1:3" ht="13.5" customHeight="1" x14ac:dyDescent="0.35">
      <c r="A335" s="17"/>
      <c r="B335" s="17"/>
      <c r="C335" s="17"/>
    </row>
    <row r="336" spans="1:3" ht="13.5" customHeight="1" x14ac:dyDescent="0.35">
      <c r="A336" s="17"/>
      <c r="B336" s="17"/>
      <c r="C336" s="17"/>
    </row>
    <row r="337" spans="1:3" ht="13.5" customHeight="1" x14ac:dyDescent="0.35">
      <c r="A337" s="17"/>
      <c r="B337" s="17"/>
      <c r="C337" s="17"/>
    </row>
    <row r="338" spans="1:3" ht="13.5" customHeight="1" x14ac:dyDescent="0.35">
      <c r="A338" s="17"/>
      <c r="B338" s="17"/>
      <c r="C338" s="17"/>
    </row>
    <row r="339" spans="1:3" ht="13.5" customHeight="1" x14ac:dyDescent="0.35">
      <c r="A339" s="17"/>
      <c r="B339" s="17"/>
      <c r="C339" s="17"/>
    </row>
    <row r="340" spans="1:3" ht="13.5" customHeight="1" x14ac:dyDescent="0.35">
      <c r="A340" s="17"/>
      <c r="B340" s="17"/>
      <c r="C340" s="17"/>
    </row>
    <row r="341" spans="1:3" ht="13.5" customHeight="1" x14ac:dyDescent="0.35">
      <c r="A341" s="17"/>
      <c r="B341" s="17"/>
      <c r="C341" s="17"/>
    </row>
    <row r="342" spans="1:3" ht="13.5" customHeight="1" x14ac:dyDescent="0.35">
      <c r="A342" s="17"/>
      <c r="B342" s="17"/>
      <c r="C342" s="17"/>
    </row>
    <row r="343" spans="1:3" ht="13.5" customHeight="1" x14ac:dyDescent="0.35">
      <c r="A343" s="17"/>
      <c r="B343" s="17"/>
      <c r="C343" s="17"/>
    </row>
    <row r="344" spans="1:3" ht="13.5" customHeight="1" x14ac:dyDescent="0.35">
      <c r="A344" s="17"/>
      <c r="B344" s="17"/>
      <c r="C344" s="17"/>
    </row>
    <row r="345" spans="1:3" ht="13.5" customHeight="1" x14ac:dyDescent="0.35">
      <c r="A345" s="17"/>
      <c r="B345" s="17"/>
      <c r="C345" s="17"/>
    </row>
    <row r="346" spans="1:3" ht="13.5" customHeight="1" x14ac:dyDescent="0.35">
      <c r="A346" s="17"/>
      <c r="B346" s="17"/>
      <c r="C346" s="17"/>
    </row>
    <row r="347" spans="1:3" ht="13.5" customHeight="1" x14ac:dyDescent="0.35">
      <c r="A347" s="17"/>
      <c r="B347" s="17"/>
      <c r="C347" s="17"/>
    </row>
    <row r="348" spans="1:3" ht="13.5" customHeight="1" x14ac:dyDescent="0.35">
      <c r="A348" s="17"/>
      <c r="B348" s="17"/>
      <c r="C348" s="17"/>
    </row>
    <row r="349" spans="1:3" ht="13.5" customHeight="1" x14ac:dyDescent="0.35">
      <c r="A349" s="17"/>
      <c r="B349" s="17"/>
      <c r="C349" s="17"/>
    </row>
    <row r="350" spans="1:3" ht="13.5" customHeight="1" x14ac:dyDescent="0.35">
      <c r="A350" s="17"/>
      <c r="B350" s="17"/>
      <c r="C350" s="17"/>
    </row>
    <row r="351" spans="1:3" ht="13.5" customHeight="1" x14ac:dyDescent="0.35">
      <c r="A351" s="17"/>
      <c r="B351" s="17"/>
      <c r="C351" s="17"/>
    </row>
    <row r="352" spans="1:3" ht="13.5" customHeight="1" x14ac:dyDescent="0.35">
      <c r="A352" s="17"/>
      <c r="B352" s="17"/>
      <c r="C352" s="17"/>
    </row>
    <row r="353" spans="1:3" ht="13.5" customHeight="1" x14ac:dyDescent="0.35">
      <c r="A353" s="17"/>
      <c r="B353" s="17"/>
      <c r="C353" s="17"/>
    </row>
    <row r="354" spans="1:3" ht="13.5" customHeight="1" x14ac:dyDescent="0.35">
      <c r="A354" s="17"/>
      <c r="B354" s="17"/>
      <c r="C354" s="17"/>
    </row>
    <row r="355" spans="1:3" ht="13.5" customHeight="1" x14ac:dyDescent="0.35">
      <c r="A355" s="17"/>
      <c r="B355" s="17"/>
      <c r="C355" s="17"/>
    </row>
    <row r="356" spans="1:3" ht="13.5" customHeight="1" x14ac:dyDescent="0.35">
      <c r="A356" s="17"/>
      <c r="B356" s="17"/>
      <c r="C356" s="17"/>
    </row>
    <row r="357" spans="1:3" ht="13.5" customHeight="1" x14ac:dyDescent="0.35">
      <c r="A357" s="17"/>
      <c r="B357" s="17"/>
      <c r="C357" s="17"/>
    </row>
    <row r="358" spans="1:3" ht="13.5" customHeight="1" x14ac:dyDescent="0.35">
      <c r="A358" s="17"/>
      <c r="B358" s="17"/>
      <c r="C358" s="17"/>
    </row>
    <row r="359" spans="1:3" ht="13.5" customHeight="1" x14ac:dyDescent="0.35">
      <c r="A359" s="17"/>
      <c r="B359" s="17"/>
      <c r="C359" s="17"/>
    </row>
    <row r="360" spans="1:3" ht="13.5" customHeight="1" x14ac:dyDescent="0.35">
      <c r="A360" s="17"/>
      <c r="B360" s="17"/>
      <c r="C360" s="17"/>
    </row>
    <row r="361" spans="1:3" ht="13.5" customHeight="1" x14ac:dyDescent="0.35">
      <c r="A361" s="17"/>
      <c r="B361" s="17"/>
      <c r="C361" s="17"/>
    </row>
    <row r="362" spans="1:3" ht="13.5" customHeight="1" x14ac:dyDescent="0.35">
      <c r="A362" s="17"/>
      <c r="B362" s="17"/>
      <c r="C362" s="17"/>
    </row>
    <row r="363" spans="1:3" ht="13.5" customHeight="1" x14ac:dyDescent="0.35">
      <c r="A363" s="17"/>
      <c r="B363" s="17"/>
      <c r="C363" s="17"/>
    </row>
    <row r="364" spans="1:3" ht="13.5" customHeight="1" x14ac:dyDescent="0.35">
      <c r="A364" s="17"/>
      <c r="B364" s="17"/>
      <c r="C364" s="17"/>
    </row>
    <row r="365" spans="1:3" ht="13.5" customHeight="1" x14ac:dyDescent="0.35">
      <c r="A365" s="17"/>
      <c r="B365" s="17"/>
      <c r="C365" s="17"/>
    </row>
    <row r="366" spans="1:3" ht="13.5" customHeight="1" x14ac:dyDescent="0.35">
      <c r="A366" s="17"/>
      <c r="B366" s="17"/>
      <c r="C366" s="17"/>
    </row>
    <row r="367" spans="1:3" ht="13.5" customHeight="1" x14ac:dyDescent="0.35">
      <c r="A367" s="17"/>
      <c r="B367" s="17"/>
      <c r="C367" s="17"/>
    </row>
    <row r="368" spans="1:3" ht="13.5" customHeight="1" x14ac:dyDescent="0.35">
      <c r="A368" s="17"/>
      <c r="B368" s="17"/>
      <c r="C368" s="17"/>
    </row>
    <row r="369" spans="1:3" ht="13.5" customHeight="1" x14ac:dyDescent="0.35">
      <c r="A369" s="17"/>
      <c r="B369" s="17"/>
      <c r="C369" s="17"/>
    </row>
    <row r="370" spans="1:3" ht="13.5" customHeight="1" x14ac:dyDescent="0.35">
      <c r="A370" s="17"/>
      <c r="B370" s="17"/>
      <c r="C370" s="17"/>
    </row>
    <row r="371" spans="1:3" ht="13.5" customHeight="1" x14ac:dyDescent="0.35">
      <c r="A371" s="17"/>
      <c r="B371" s="17"/>
      <c r="C371" s="17"/>
    </row>
    <row r="372" spans="1:3" ht="13.5" customHeight="1" x14ac:dyDescent="0.35">
      <c r="A372" s="17"/>
      <c r="B372" s="17"/>
      <c r="C372" s="17"/>
    </row>
    <row r="373" spans="1:3" ht="13.5" customHeight="1" x14ac:dyDescent="0.35">
      <c r="A373" s="17"/>
      <c r="B373" s="17"/>
      <c r="C373" s="17"/>
    </row>
    <row r="374" spans="1:3" ht="13.5" customHeight="1" x14ac:dyDescent="0.35">
      <c r="A374" s="17"/>
      <c r="B374" s="17"/>
      <c r="C374" s="17"/>
    </row>
    <row r="375" spans="1:3" ht="13.5" customHeight="1" x14ac:dyDescent="0.35">
      <c r="A375" s="17"/>
      <c r="B375" s="17"/>
      <c r="C375" s="17"/>
    </row>
    <row r="376" spans="1:3" ht="13.5" customHeight="1" x14ac:dyDescent="0.35">
      <c r="A376" s="17"/>
      <c r="B376" s="17"/>
      <c r="C376" s="17"/>
    </row>
    <row r="377" spans="1:3" ht="13.5" customHeight="1" x14ac:dyDescent="0.35">
      <c r="A377" s="17"/>
      <c r="B377" s="17"/>
      <c r="C377" s="17"/>
    </row>
    <row r="378" spans="1:3" ht="13.5" customHeight="1" x14ac:dyDescent="0.35">
      <c r="A378" s="17"/>
      <c r="B378" s="17"/>
      <c r="C378" s="17"/>
    </row>
    <row r="379" spans="1:3" ht="13.5" customHeight="1" x14ac:dyDescent="0.35">
      <c r="A379" s="17"/>
      <c r="B379" s="17"/>
      <c r="C379" s="17"/>
    </row>
    <row r="380" spans="1:3" ht="13.5" customHeight="1" x14ac:dyDescent="0.35">
      <c r="A380" s="17"/>
      <c r="B380" s="17"/>
      <c r="C380" s="17"/>
    </row>
    <row r="381" spans="1:3" ht="13.5" customHeight="1" x14ac:dyDescent="0.35">
      <c r="A381" s="17"/>
      <c r="B381" s="17"/>
      <c r="C381" s="17"/>
    </row>
    <row r="382" spans="1:3" ht="13.5" customHeight="1" x14ac:dyDescent="0.35">
      <c r="A382" s="17"/>
      <c r="B382" s="17"/>
      <c r="C382" s="17"/>
    </row>
    <row r="383" spans="1:3" ht="13.5" customHeight="1" x14ac:dyDescent="0.35">
      <c r="A383" s="17"/>
      <c r="B383" s="17"/>
      <c r="C383" s="17"/>
    </row>
    <row r="384" spans="1:3" ht="13.5" customHeight="1" x14ac:dyDescent="0.35">
      <c r="A384" s="17"/>
      <c r="B384" s="17"/>
      <c r="C384" s="17"/>
    </row>
    <row r="385" spans="1:3" ht="13.5" customHeight="1" x14ac:dyDescent="0.35">
      <c r="A385" s="17"/>
      <c r="B385" s="17"/>
      <c r="C385" s="17"/>
    </row>
    <row r="386" spans="1:3" ht="13.5" customHeight="1" x14ac:dyDescent="0.35">
      <c r="A386" s="17"/>
      <c r="B386" s="17"/>
      <c r="C386" s="17"/>
    </row>
    <row r="387" spans="1:3" ht="13.5" customHeight="1" x14ac:dyDescent="0.35">
      <c r="A387" s="17"/>
      <c r="B387" s="17"/>
      <c r="C387" s="17"/>
    </row>
    <row r="388" spans="1:3" ht="13.5" customHeight="1" x14ac:dyDescent="0.35">
      <c r="A388" s="17"/>
      <c r="B388" s="17"/>
      <c r="C388" s="17"/>
    </row>
    <row r="389" spans="1:3" ht="13.5" customHeight="1" x14ac:dyDescent="0.35">
      <c r="A389" s="17"/>
      <c r="B389" s="17"/>
      <c r="C389" s="17"/>
    </row>
    <row r="390" spans="1:3" ht="13.5" customHeight="1" x14ac:dyDescent="0.35">
      <c r="A390" s="17"/>
      <c r="B390" s="17"/>
      <c r="C390" s="17"/>
    </row>
    <row r="391" spans="1:3" ht="13.5" customHeight="1" x14ac:dyDescent="0.35">
      <c r="A391" s="17"/>
      <c r="B391" s="17"/>
      <c r="C391" s="17"/>
    </row>
    <row r="392" spans="1:3" ht="13.5" customHeight="1" x14ac:dyDescent="0.35">
      <c r="A392" s="17"/>
      <c r="B392" s="17"/>
      <c r="C392" s="17"/>
    </row>
    <row r="393" spans="1:3" ht="13.5" customHeight="1" x14ac:dyDescent="0.35">
      <c r="A393" s="17"/>
      <c r="B393" s="17"/>
      <c r="C393" s="17"/>
    </row>
    <row r="394" spans="1:3" ht="13.5" customHeight="1" x14ac:dyDescent="0.35">
      <c r="A394" s="17"/>
      <c r="B394" s="17"/>
      <c r="C394" s="17"/>
    </row>
    <row r="395" spans="1:3" ht="13.5" customHeight="1" x14ac:dyDescent="0.35">
      <c r="A395" s="17"/>
      <c r="B395" s="17"/>
      <c r="C395" s="17"/>
    </row>
    <row r="396" spans="1:3" ht="13.5" customHeight="1" x14ac:dyDescent="0.35">
      <c r="A396" s="17"/>
      <c r="B396" s="17"/>
      <c r="C396" s="17"/>
    </row>
    <row r="397" spans="1:3" ht="13.5" customHeight="1" x14ac:dyDescent="0.35">
      <c r="A397" s="17"/>
      <c r="B397" s="17"/>
      <c r="C397" s="17"/>
    </row>
    <row r="398" spans="1:3" ht="13.5" customHeight="1" x14ac:dyDescent="0.35">
      <c r="A398" s="17"/>
      <c r="B398" s="17"/>
      <c r="C398" s="17"/>
    </row>
    <row r="399" spans="1:3" ht="13.5" customHeight="1" x14ac:dyDescent="0.35">
      <c r="A399" s="17"/>
      <c r="B399" s="17"/>
      <c r="C399" s="17"/>
    </row>
    <row r="400" spans="1:3" ht="13.5" customHeight="1" x14ac:dyDescent="0.35">
      <c r="A400" s="17"/>
      <c r="B400" s="17"/>
      <c r="C400" s="17"/>
    </row>
    <row r="401" spans="1:3" ht="13.5" customHeight="1" x14ac:dyDescent="0.35">
      <c r="A401" s="17"/>
      <c r="B401" s="17"/>
      <c r="C401" s="17"/>
    </row>
    <row r="402" spans="1:3" ht="13.5" customHeight="1" x14ac:dyDescent="0.35">
      <c r="A402" s="17"/>
      <c r="B402" s="17"/>
      <c r="C402" s="17"/>
    </row>
    <row r="403" spans="1:3" ht="13.5" customHeight="1" x14ac:dyDescent="0.35">
      <c r="A403" s="17"/>
      <c r="B403" s="17"/>
      <c r="C403" s="17"/>
    </row>
    <row r="404" spans="1:3" ht="13.5" customHeight="1" x14ac:dyDescent="0.35">
      <c r="A404" s="17"/>
      <c r="B404" s="17"/>
      <c r="C404" s="17"/>
    </row>
    <row r="405" spans="1:3" ht="13.5" customHeight="1" x14ac:dyDescent="0.35">
      <c r="A405" s="17"/>
      <c r="B405" s="17"/>
      <c r="C405" s="17"/>
    </row>
    <row r="406" spans="1:3" ht="13.5" customHeight="1" x14ac:dyDescent="0.35">
      <c r="A406" s="17"/>
      <c r="B406" s="17"/>
      <c r="C406" s="17"/>
    </row>
    <row r="407" spans="1:3" ht="13.5" customHeight="1" x14ac:dyDescent="0.35">
      <c r="A407" s="17"/>
      <c r="B407" s="17"/>
      <c r="C407" s="17"/>
    </row>
    <row r="408" spans="1:3" ht="13.5" customHeight="1" x14ac:dyDescent="0.35">
      <c r="A408" s="17"/>
      <c r="B408" s="17"/>
      <c r="C408" s="17"/>
    </row>
    <row r="409" spans="1:3" ht="13.5" customHeight="1" x14ac:dyDescent="0.35">
      <c r="A409" s="17"/>
      <c r="B409" s="17"/>
      <c r="C409" s="17"/>
    </row>
    <row r="410" spans="1:3" ht="13.5" customHeight="1" x14ac:dyDescent="0.35">
      <c r="A410" s="17"/>
      <c r="B410" s="17"/>
      <c r="C410" s="17"/>
    </row>
    <row r="411" spans="1:3" ht="13.5" customHeight="1" x14ac:dyDescent="0.35">
      <c r="A411" s="17"/>
      <c r="B411" s="17"/>
      <c r="C411" s="17"/>
    </row>
    <row r="412" spans="1:3" ht="13.5" customHeight="1" x14ac:dyDescent="0.35">
      <c r="A412" s="17"/>
      <c r="B412" s="17"/>
      <c r="C412" s="17"/>
    </row>
    <row r="413" spans="1:3" ht="13.5" customHeight="1" x14ac:dyDescent="0.35">
      <c r="A413" s="17"/>
      <c r="B413" s="17"/>
      <c r="C413" s="17"/>
    </row>
    <row r="414" spans="1:3" ht="13.5" customHeight="1" x14ac:dyDescent="0.35">
      <c r="A414" s="17"/>
      <c r="B414" s="17"/>
      <c r="C414" s="17"/>
    </row>
    <row r="415" spans="1:3" ht="13.5" customHeight="1" x14ac:dyDescent="0.35">
      <c r="A415" s="17"/>
      <c r="B415" s="17"/>
      <c r="C415" s="17"/>
    </row>
    <row r="416" spans="1:3" ht="13.5" customHeight="1" x14ac:dyDescent="0.35">
      <c r="A416" s="17"/>
      <c r="B416" s="17"/>
      <c r="C416" s="17"/>
    </row>
    <row r="417" spans="1:3" ht="13.5" customHeight="1" x14ac:dyDescent="0.35">
      <c r="A417" s="17"/>
      <c r="B417" s="17"/>
      <c r="C417" s="17"/>
    </row>
    <row r="418" spans="1:3" ht="13.5" customHeight="1" x14ac:dyDescent="0.35">
      <c r="A418" s="17"/>
      <c r="B418" s="17"/>
      <c r="C418" s="17"/>
    </row>
    <row r="419" spans="1:3" ht="13.5" customHeight="1" x14ac:dyDescent="0.35">
      <c r="A419" s="17"/>
      <c r="B419" s="17"/>
      <c r="C419" s="17"/>
    </row>
    <row r="420" spans="1:3" ht="13.5" customHeight="1" x14ac:dyDescent="0.35">
      <c r="A420" s="17"/>
      <c r="B420" s="17"/>
      <c r="C420" s="17"/>
    </row>
    <row r="421" spans="1:3" ht="13.5" customHeight="1" x14ac:dyDescent="0.35">
      <c r="A421" s="17"/>
      <c r="B421" s="17"/>
      <c r="C421" s="17"/>
    </row>
    <row r="422" spans="1:3" ht="13.5" customHeight="1" x14ac:dyDescent="0.35">
      <c r="A422" s="17"/>
      <c r="B422" s="17"/>
      <c r="C422" s="17"/>
    </row>
    <row r="423" spans="1:3" ht="13.5" customHeight="1" x14ac:dyDescent="0.35">
      <c r="A423" s="17"/>
      <c r="B423" s="17"/>
      <c r="C423" s="17"/>
    </row>
    <row r="424" spans="1:3" ht="13.5" customHeight="1" x14ac:dyDescent="0.35">
      <c r="A424" s="17"/>
      <c r="B424" s="17"/>
      <c r="C424" s="17"/>
    </row>
    <row r="425" spans="1:3" ht="13.5" customHeight="1" x14ac:dyDescent="0.35">
      <c r="A425" s="17"/>
      <c r="B425" s="17"/>
      <c r="C425" s="17"/>
    </row>
    <row r="426" spans="1:3" ht="13.5" customHeight="1" x14ac:dyDescent="0.35">
      <c r="A426" s="17"/>
      <c r="B426" s="17"/>
      <c r="C426" s="17"/>
    </row>
    <row r="427" spans="1:3" ht="13.5" customHeight="1" x14ac:dyDescent="0.35">
      <c r="A427" s="17"/>
      <c r="B427" s="17"/>
      <c r="C427" s="17"/>
    </row>
    <row r="428" spans="1:3" ht="13.5" customHeight="1" x14ac:dyDescent="0.35">
      <c r="A428" s="17"/>
      <c r="B428" s="17"/>
      <c r="C428" s="17"/>
    </row>
    <row r="429" spans="1:3" ht="13.5" customHeight="1" x14ac:dyDescent="0.35">
      <c r="A429" s="17"/>
      <c r="B429" s="17"/>
      <c r="C429" s="17"/>
    </row>
    <row r="430" spans="1:3" ht="13.5" customHeight="1" x14ac:dyDescent="0.35">
      <c r="A430" s="17"/>
      <c r="B430" s="17"/>
      <c r="C430" s="17"/>
    </row>
    <row r="431" spans="1:3" ht="13.5" customHeight="1" x14ac:dyDescent="0.35">
      <c r="A431" s="17"/>
      <c r="B431" s="17"/>
      <c r="C431" s="17"/>
    </row>
    <row r="432" spans="1:3" ht="13.5" customHeight="1" x14ac:dyDescent="0.35">
      <c r="A432" s="17"/>
      <c r="B432" s="17"/>
      <c r="C432" s="17"/>
    </row>
    <row r="433" spans="1:3" ht="13.5" customHeight="1" x14ac:dyDescent="0.35">
      <c r="A433" s="17"/>
      <c r="B433" s="17"/>
      <c r="C433" s="17"/>
    </row>
    <row r="434" spans="1:3" ht="13.5" customHeight="1" x14ac:dyDescent="0.35">
      <c r="A434" s="17"/>
      <c r="B434" s="17"/>
      <c r="C434" s="17"/>
    </row>
    <row r="435" spans="1:3" ht="13.5" customHeight="1" x14ac:dyDescent="0.35">
      <c r="A435" s="17"/>
      <c r="B435" s="17"/>
      <c r="C435" s="17"/>
    </row>
    <row r="436" spans="1:3" ht="13.5" customHeight="1" x14ac:dyDescent="0.35">
      <c r="A436" s="17"/>
      <c r="B436" s="17"/>
      <c r="C436" s="17"/>
    </row>
    <row r="437" spans="1:3" ht="13.5" customHeight="1" x14ac:dyDescent="0.35">
      <c r="A437" s="17"/>
      <c r="B437" s="17"/>
      <c r="C437" s="17"/>
    </row>
    <row r="438" spans="1:3" ht="13.5" customHeight="1" x14ac:dyDescent="0.35">
      <c r="A438" s="17"/>
      <c r="B438" s="17"/>
      <c r="C438" s="17"/>
    </row>
    <row r="439" spans="1:3" ht="13.5" customHeight="1" x14ac:dyDescent="0.35">
      <c r="A439" s="17"/>
      <c r="B439" s="17"/>
      <c r="C439" s="17"/>
    </row>
    <row r="440" spans="1:3" ht="13.5" customHeight="1" x14ac:dyDescent="0.35">
      <c r="A440" s="17"/>
      <c r="B440" s="17"/>
      <c r="C440" s="17"/>
    </row>
    <row r="441" spans="1:3" ht="13.5" customHeight="1" x14ac:dyDescent="0.35">
      <c r="A441" s="17"/>
      <c r="B441" s="17"/>
      <c r="C441" s="17"/>
    </row>
    <row r="442" spans="1:3" ht="13.5" customHeight="1" x14ac:dyDescent="0.35">
      <c r="A442" s="17"/>
      <c r="B442" s="17"/>
      <c r="C442" s="17"/>
    </row>
    <row r="443" spans="1:3" ht="13.5" customHeight="1" x14ac:dyDescent="0.35">
      <c r="A443" s="17"/>
      <c r="B443" s="17"/>
      <c r="C443" s="17"/>
    </row>
    <row r="444" spans="1:3" ht="13.5" customHeight="1" x14ac:dyDescent="0.35">
      <c r="A444" s="17"/>
      <c r="B444" s="17"/>
      <c r="C444" s="17"/>
    </row>
    <row r="445" spans="1:3" ht="13.5" customHeight="1" x14ac:dyDescent="0.35">
      <c r="A445" s="17"/>
      <c r="B445" s="17"/>
      <c r="C445" s="17"/>
    </row>
    <row r="446" spans="1:3" ht="13.5" customHeight="1" x14ac:dyDescent="0.35">
      <c r="A446" s="17"/>
      <c r="B446" s="17"/>
      <c r="C446" s="17"/>
    </row>
    <row r="447" spans="1:3" ht="13.5" customHeight="1" x14ac:dyDescent="0.35">
      <c r="A447" s="17"/>
      <c r="B447" s="17"/>
      <c r="C447" s="17"/>
    </row>
    <row r="448" spans="1:3" ht="13.5" customHeight="1" x14ac:dyDescent="0.35">
      <c r="A448" s="17"/>
      <c r="B448" s="17"/>
      <c r="C448" s="17"/>
    </row>
    <row r="449" spans="1:3" ht="13.5" customHeight="1" x14ac:dyDescent="0.35">
      <c r="A449" s="17"/>
      <c r="B449" s="17"/>
      <c r="C449" s="17"/>
    </row>
    <row r="450" spans="1:3" ht="13.5" customHeight="1" x14ac:dyDescent="0.35">
      <c r="A450" s="17"/>
      <c r="B450" s="17"/>
      <c r="C450" s="17"/>
    </row>
    <row r="451" spans="1:3" ht="13.5" customHeight="1" x14ac:dyDescent="0.35">
      <c r="A451" s="17"/>
      <c r="B451" s="17"/>
      <c r="C451" s="17"/>
    </row>
    <row r="452" spans="1:3" ht="13.5" customHeight="1" x14ac:dyDescent="0.35">
      <c r="A452" s="17"/>
      <c r="B452" s="17"/>
      <c r="C452" s="17"/>
    </row>
    <row r="453" spans="1:3" ht="13.5" customHeight="1" x14ac:dyDescent="0.35">
      <c r="A453" s="17"/>
      <c r="B453" s="17"/>
      <c r="C453" s="17"/>
    </row>
    <row r="454" spans="1:3" ht="13.5" customHeight="1" x14ac:dyDescent="0.35">
      <c r="A454" s="17"/>
      <c r="B454" s="17"/>
      <c r="C454" s="17"/>
    </row>
    <row r="455" spans="1:3" ht="13.5" customHeight="1" x14ac:dyDescent="0.35">
      <c r="A455" s="17"/>
      <c r="B455" s="17"/>
      <c r="C455" s="17"/>
    </row>
    <row r="456" spans="1:3" ht="13.5" customHeight="1" x14ac:dyDescent="0.35">
      <c r="A456" s="17"/>
      <c r="B456" s="17"/>
      <c r="C456" s="17"/>
    </row>
    <row r="457" spans="1:3" ht="13.5" customHeight="1" x14ac:dyDescent="0.35">
      <c r="A457" s="17"/>
      <c r="B457" s="17"/>
      <c r="C457" s="17"/>
    </row>
    <row r="458" spans="1:3" ht="13.5" customHeight="1" x14ac:dyDescent="0.35">
      <c r="A458" s="17"/>
      <c r="B458" s="17"/>
      <c r="C458" s="17"/>
    </row>
    <row r="459" spans="1:3" ht="13.5" customHeight="1" x14ac:dyDescent="0.35">
      <c r="A459" s="17"/>
      <c r="B459" s="17"/>
      <c r="C459" s="17"/>
    </row>
    <row r="460" spans="1:3" ht="13.5" customHeight="1" x14ac:dyDescent="0.35">
      <c r="A460" s="17"/>
      <c r="B460" s="17"/>
      <c r="C460" s="17"/>
    </row>
    <row r="461" spans="1:3" ht="13.5" customHeight="1" x14ac:dyDescent="0.35">
      <c r="A461" s="17"/>
      <c r="B461" s="17"/>
      <c r="C461" s="17"/>
    </row>
    <row r="462" spans="1:3" ht="13.5" customHeight="1" x14ac:dyDescent="0.35">
      <c r="A462" s="17"/>
      <c r="B462" s="17"/>
      <c r="C462" s="17"/>
    </row>
    <row r="463" spans="1:3" ht="13.5" customHeight="1" x14ac:dyDescent="0.35">
      <c r="A463" s="17"/>
      <c r="B463" s="17"/>
      <c r="C463" s="17"/>
    </row>
    <row r="464" spans="1:3" ht="13.5" customHeight="1" x14ac:dyDescent="0.35">
      <c r="A464" s="17"/>
      <c r="B464" s="17"/>
      <c r="C464" s="17"/>
    </row>
    <row r="465" spans="1:3" ht="13.5" customHeight="1" x14ac:dyDescent="0.35">
      <c r="A465" s="17"/>
      <c r="B465" s="17"/>
      <c r="C465" s="17"/>
    </row>
    <row r="466" spans="1:3" ht="13.5" customHeight="1" x14ac:dyDescent="0.35">
      <c r="A466" s="17"/>
      <c r="B466" s="17"/>
      <c r="C466" s="17"/>
    </row>
    <row r="467" spans="1:3" ht="13.5" customHeight="1" x14ac:dyDescent="0.35">
      <c r="A467" s="17"/>
      <c r="B467" s="17"/>
      <c r="C467" s="17"/>
    </row>
    <row r="468" spans="1:3" ht="13.5" customHeight="1" x14ac:dyDescent="0.35">
      <c r="A468" s="17"/>
      <c r="B468" s="17"/>
      <c r="C468" s="17"/>
    </row>
    <row r="469" spans="1:3" ht="13.5" customHeight="1" x14ac:dyDescent="0.35">
      <c r="A469" s="17"/>
      <c r="B469" s="17"/>
      <c r="C469" s="17"/>
    </row>
    <row r="470" spans="1:3" ht="13.5" customHeight="1" x14ac:dyDescent="0.35">
      <c r="A470" s="17"/>
      <c r="B470" s="17"/>
      <c r="C470" s="17"/>
    </row>
    <row r="471" spans="1:3" ht="13.5" customHeight="1" x14ac:dyDescent="0.35">
      <c r="A471" s="17"/>
      <c r="B471" s="17"/>
      <c r="C471" s="17"/>
    </row>
    <row r="472" spans="1:3" ht="13.5" customHeight="1" x14ac:dyDescent="0.35">
      <c r="A472" s="17"/>
      <c r="B472" s="17"/>
      <c r="C472" s="17"/>
    </row>
    <row r="473" spans="1:3" ht="13.5" customHeight="1" x14ac:dyDescent="0.35">
      <c r="A473" s="17"/>
      <c r="B473" s="17"/>
      <c r="C473" s="17"/>
    </row>
    <row r="474" spans="1:3" ht="13.5" customHeight="1" x14ac:dyDescent="0.35">
      <c r="A474" s="17"/>
      <c r="B474" s="17"/>
      <c r="C474" s="17"/>
    </row>
    <row r="475" spans="1:3" ht="13.5" customHeight="1" x14ac:dyDescent="0.35">
      <c r="A475" s="17"/>
      <c r="B475" s="17"/>
      <c r="C475" s="17"/>
    </row>
    <row r="476" spans="1:3" ht="13.5" customHeight="1" x14ac:dyDescent="0.35">
      <c r="A476" s="17"/>
      <c r="B476" s="17"/>
      <c r="C476" s="17"/>
    </row>
    <row r="477" spans="1:3" ht="13.5" customHeight="1" x14ac:dyDescent="0.35">
      <c r="A477" s="17"/>
      <c r="B477" s="17"/>
      <c r="C477" s="17"/>
    </row>
    <row r="478" spans="1:3" ht="13.5" customHeight="1" x14ac:dyDescent="0.35">
      <c r="A478" s="17"/>
      <c r="B478" s="17"/>
      <c r="C478" s="17"/>
    </row>
    <row r="479" spans="1:3" ht="13.5" customHeight="1" x14ac:dyDescent="0.35">
      <c r="A479" s="17"/>
      <c r="B479" s="17"/>
      <c r="C479" s="17"/>
    </row>
    <row r="480" spans="1:3" ht="13.5" customHeight="1" x14ac:dyDescent="0.35">
      <c r="A480" s="17"/>
      <c r="B480" s="17"/>
      <c r="C480" s="17"/>
    </row>
    <row r="481" spans="1:3" ht="13.5" customHeight="1" x14ac:dyDescent="0.35">
      <c r="A481" s="17"/>
      <c r="B481" s="17"/>
      <c r="C481" s="17"/>
    </row>
    <row r="482" spans="1:3" ht="13.5" customHeight="1" x14ac:dyDescent="0.35">
      <c r="A482" s="17"/>
      <c r="B482" s="17"/>
      <c r="C482" s="17"/>
    </row>
    <row r="483" spans="1:3" ht="13.5" customHeight="1" x14ac:dyDescent="0.35">
      <c r="A483" s="17"/>
      <c r="B483" s="17"/>
      <c r="C483" s="17"/>
    </row>
    <row r="484" spans="1:3" ht="13.5" customHeight="1" x14ac:dyDescent="0.35">
      <c r="A484" s="17"/>
      <c r="B484" s="17"/>
      <c r="C484" s="17"/>
    </row>
    <row r="485" spans="1:3" ht="13.5" customHeight="1" x14ac:dyDescent="0.35">
      <c r="A485" s="17"/>
      <c r="B485" s="17"/>
      <c r="C485" s="17"/>
    </row>
    <row r="486" spans="1:3" ht="13.5" customHeight="1" x14ac:dyDescent="0.35">
      <c r="A486" s="17"/>
      <c r="B486" s="17"/>
      <c r="C486" s="17"/>
    </row>
    <row r="487" spans="1:3" ht="13.5" customHeight="1" x14ac:dyDescent="0.35">
      <c r="A487" s="17"/>
      <c r="B487" s="17"/>
      <c r="C487" s="17"/>
    </row>
    <row r="488" spans="1:3" ht="13.5" customHeight="1" x14ac:dyDescent="0.35">
      <c r="A488" s="17"/>
      <c r="B488" s="17"/>
      <c r="C488" s="17"/>
    </row>
    <row r="489" spans="1:3" ht="13.5" customHeight="1" x14ac:dyDescent="0.35">
      <c r="A489" s="17"/>
      <c r="B489" s="17"/>
      <c r="C489" s="17"/>
    </row>
    <row r="490" spans="1:3" ht="13.5" customHeight="1" x14ac:dyDescent="0.35">
      <c r="A490" s="17"/>
      <c r="B490" s="17"/>
      <c r="C490" s="17"/>
    </row>
    <row r="491" spans="1:3" ht="13.5" customHeight="1" x14ac:dyDescent="0.35">
      <c r="A491" s="17"/>
      <c r="B491" s="17"/>
      <c r="C491" s="17"/>
    </row>
    <row r="492" spans="1:3" ht="13.5" customHeight="1" x14ac:dyDescent="0.35">
      <c r="A492" s="17"/>
      <c r="B492" s="17"/>
      <c r="C492" s="17"/>
    </row>
    <row r="493" spans="1:3" ht="13.5" customHeight="1" x14ac:dyDescent="0.35">
      <c r="A493" s="17"/>
      <c r="B493" s="17"/>
      <c r="C493" s="17"/>
    </row>
    <row r="494" spans="1:3" ht="13.5" customHeight="1" x14ac:dyDescent="0.35">
      <c r="A494" s="17"/>
      <c r="B494" s="17"/>
      <c r="C494" s="17"/>
    </row>
    <row r="495" spans="1:3" ht="13.5" customHeight="1" x14ac:dyDescent="0.35">
      <c r="A495" s="17"/>
      <c r="B495" s="17"/>
      <c r="C495" s="17"/>
    </row>
    <row r="496" spans="1:3" ht="13.5" customHeight="1" x14ac:dyDescent="0.35">
      <c r="A496" s="17"/>
      <c r="B496" s="17"/>
      <c r="C496" s="17"/>
    </row>
    <row r="497" spans="1:3" ht="13.5" customHeight="1" x14ac:dyDescent="0.35">
      <c r="A497" s="17"/>
      <c r="B497" s="17"/>
      <c r="C497" s="17"/>
    </row>
    <row r="498" spans="1:3" ht="13.5" customHeight="1" x14ac:dyDescent="0.35">
      <c r="A498" s="17"/>
      <c r="B498" s="17"/>
      <c r="C498" s="17"/>
    </row>
    <row r="499" spans="1:3" ht="13.5" customHeight="1" x14ac:dyDescent="0.35">
      <c r="A499" s="17"/>
      <c r="B499" s="17"/>
      <c r="C499" s="17"/>
    </row>
    <row r="500" spans="1:3" ht="13.5" customHeight="1" x14ac:dyDescent="0.35">
      <c r="A500" s="17"/>
      <c r="B500" s="17"/>
      <c r="C500" s="17"/>
    </row>
    <row r="501" spans="1:3" ht="13.5" customHeight="1" x14ac:dyDescent="0.35">
      <c r="A501" s="17"/>
      <c r="B501" s="17"/>
      <c r="C501" s="17"/>
    </row>
    <row r="502" spans="1:3" ht="13.5" customHeight="1" x14ac:dyDescent="0.35">
      <c r="A502" s="17"/>
      <c r="B502" s="17"/>
      <c r="C502" s="17"/>
    </row>
    <row r="503" spans="1:3" ht="13.5" customHeight="1" x14ac:dyDescent="0.35">
      <c r="A503" s="17"/>
      <c r="B503" s="17"/>
      <c r="C503" s="17"/>
    </row>
    <row r="504" spans="1:3" ht="13.5" customHeight="1" x14ac:dyDescent="0.35">
      <c r="A504" s="17"/>
      <c r="B504" s="17"/>
      <c r="C504" s="17"/>
    </row>
    <row r="505" spans="1:3" ht="13.5" customHeight="1" x14ac:dyDescent="0.35">
      <c r="A505" s="17"/>
      <c r="B505" s="17"/>
      <c r="C505" s="17"/>
    </row>
    <row r="506" spans="1:3" ht="13.5" customHeight="1" x14ac:dyDescent="0.35">
      <c r="A506" s="17"/>
      <c r="B506" s="17"/>
      <c r="C506" s="17"/>
    </row>
    <row r="507" spans="1:3" ht="13.5" customHeight="1" x14ac:dyDescent="0.35">
      <c r="A507" s="17"/>
      <c r="B507" s="17"/>
      <c r="C507" s="17"/>
    </row>
    <row r="508" spans="1:3" ht="13.5" customHeight="1" x14ac:dyDescent="0.35">
      <c r="A508" s="17"/>
      <c r="B508" s="17"/>
      <c r="C508" s="17"/>
    </row>
    <row r="509" spans="1:3" ht="13.5" customHeight="1" x14ac:dyDescent="0.35">
      <c r="A509" s="17"/>
      <c r="B509" s="17"/>
      <c r="C509" s="17"/>
    </row>
    <row r="510" spans="1:3" ht="13.5" customHeight="1" x14ac:dyDescent="0.35">
      <c r="A510" s="17"/>
      <c r="B510" s="17"/>
      <c r="C510" s="17"/>
    </row>
    <row r="511" spans="1:3" ht="13.5" customHeight="1" x14ac:dyDescent="0.35">
      <c r="A511" s="17"/>
      <c r="B511" s="17"/>
      <c r="C511" s="17"/>
    </row>
    <row r="512" spans="1:3" ht="13.5" customHeight="1" x14ac:dyDescent="0.35">
      <c r="A512" s="17"/>
      <c r="B512" s="17"/>
      <c r="C512" s="17"/>
    </row>
    <row r="513" spans="1:3" ht="13.5" customHeight="1" x14ac:dyDescent="0.35">
      <c r="A513" s="17"/>
      <c r="B513" s="17"/>
      <c r="C513" s="17"/>
    </row>
    <row r="514" spans="1:3" ht="13.5" customHeight="1" x14ac:dyDescent="0.35">
      <c r="A514" s="17"/>
      <c r="B514" s="17"/>
      <c r="C514" s="17"/>
    </row>
    <row r="515" spans="1:3" ht="13.5" customHeight="1" x14ac:dyDescent="0.35">
      <c r="A515" s="17"/>
      <c r="B515" s="17"/>
      <c r="C515" s="17"/>
    </row>
    <row r="516" spans="1:3" ht="13.5" customHeight="1" x14ac:dyDescent="0.35">
      <c r="A516" s="17"/>
      <c r="B516" s="17"/>
      <c r="C516" s="17"/>
    </row>
    <row r="517" spans="1:3" ht="13.5" customHeight="1" x14ac:dyDescent="0.35">
      <c r="A517" s="17"/>
      <c r="B517" s="17"/>
      <c r="C517" s="17"/>
    </row>
    <row r="518" spans="1:3" ht="13.5" customHeight="1" x14ac:dyDescent="0.35">
      <c r="A518" s="17"/>
      <c r="B518" s="17"/>
      <c r="C518" s="17"/>
    </row>
    <row r="519" spans="1:3" ht="13.5" customHeight="1" x14ac:dyDescent="0.35">
      <c r="A519" s="17"/>
      <c r="B519" s="17"/>
      <c r="C519" s="17"/>
    </row>
    <row r="520" spans="1:3" ht="13.5" customHeight="1" x14ac:dyDescent="0.35">
      <c r="A520" s="17"/>
      <c r="B520" s="17"/>
      <c r="C520" s="17"/>
    </row>
    <row r="521" spans="1:3" ht="13.5" customHeight="1" x14ac:dyDescent="0.35">
      <c r="A521" s="17"/>
      <c r="B521" s="17"/>
      <c r="C521" s="17"/>
    </row>
    <row r="522" spans="1:3" ht="13.5" customHeight="1" x14ac:dyDescent="0.35">
      <c r="A522" s="17"/>
      <c r="B522" s="17"/>
      <c r="C522" s="17"/>
    </row>
    <row r="523" spans="1:3" ht="13.5" customHeight="1" x14ac:dyDescent="0.35">
      <c r="A523" s="17"/>
      <c r="B523" s="17"/>
      <c r="C523" s="17"/>
    </row>
    <row r="524" spans="1:3" ht="13.5" customHeight="1" x14ac:dyDescent="0.35">
      <c r="A524" s="17"/>
      <c r="B524" s="17"/>
      <c r="C524" s="17"/>
    </row>
    <row r="525" spans="1:3" ht="13.5" customHeight="1" x14ac:dyDescent="0.35">
      <c r="A525" s="17"/>
      <c r="B525" s="17"/>
      <c r="C525" s="17"/>
    </row>
    <row r="526" spans="1:3" ht="13.5" customHeight="1" x14ac:dyDescent="0.35">
      <c r="A526" s="17"/>
      <c r="B526" s="17"/>
      <c r="C526" s="17"/>
    </row>
    <row r="527" spans="1:3" ht="13.5" customHeight="1" x14ac:dyDescent="0.35">
      <c r="A527" s="17"/>
      <c r="B527" s="17"/>
      <c r="C527" s="17"/>
    </row>
    <row r="528" spans="1:3" ht="13.5" customHeight="1" x14ac:dyDescent="0.35">
      <c r="A528" s="17"/>
      <c r="B528" s="17"/>
      <c r="C528" s="17"/>
    </row>
    <row r="529" spans="1:3" ht="13.5" customHeight="1" x14ac:dyDescent="0.35">
      <c r="A529" s="17"/>
      <c r="B529" s="17"/>
      <c r="C529" s="17"/>
    </row>
    <row r="530" spans="1:3" ht="13.5" customHeight="1" x14ac:dyDescent="0.35">
      <c r="A530" s="17"/>
      <c r="B530" s="17"/>
      <c r="C530" s="17"/>
    </row>
    <row r="531" spans="1:3" ht="13.5" customHeight="1" x14ac:dyDescent="0.35">
      <c r="A531" s="17"/>
      <c r="B531" s="17"/>
      <c r="C531" s="17"/>
    </row>
    <row r="532" spans="1:3" ht="13.5" customHeight="1" x14ac:dyDescent="0.35">
      <c r="A532" s="17"/>
      <c r="B532" s="17"/>
      <c r="C532" s="17"/>
    </row>
    <row r="533" spans="1:3" ht="13.5" customHeight="1" x14ac:dyDescent="0.35">
      <c r="A533" s="17"/>
      <c r="B533" s="17"/>
      <c r="C533" s="17"/>
    </row>
    <row r="534" spans="1:3" ht="13.5" customHeight="1" x14ac:dyDescent="0.35">
      <c r="A534" s="17"/>
      <c r="B534" s="17"/>
      <c r="C534" s="17"/>
    </row>
    <row r="535" spans="1:3" ht="13.5" customHeight="1" x14ac:dyDescent="0.35">
      <c r="A535" s="17"/>
      <c r="B535" s="17"/>
      <c r="C535" s="17"/>
    </row>
    <row r="536" spans="1:3" ht="13.5" customHeight="1" x14ac:dyDescent="0.35">
      <c r="A536" s="17"/>
      <c r="B536" s="17"/>
      <c r="C536" s="17"/>
    </row>
    <row r="537" spans="1:3" ht="13.5" customHeight="1" x14ac:dyDescent="0.35">
      <c r="A537" s="17"/>
      <c r="B537" s="17"/>
      <c r="C537" s="17"/>
    </row>
    <row r="538" spans="1:3" ht="13.5" customHeight="1" x14ac:dyDescent="0.35">
      <c r="A538" s="17"/>
      <c r="B538" s="17"/>
      <c r="C538" s="17"/>
    </row>
    <row r="539" spans="1:3" ht="13.5" customHeight="1" x14ac:dyDescent="0.35">
      <c r="A539" s="17"/>
      <c r="B539" s="17"/>
      <c r="C539" s="17"/>
    </row>
    <row r="540" spans="1:3" ht="13.5" customHeight="1" x14ac:dyDescent="0.35">
      <c r="A540" s="17"/>
      <c r="B540" s="17"/>
      <c r="C540" s="17"/>
    </row>
    <row r="541" spans="1:3" ht="13.5" customHeight="1" x14ac:dyDescent="0.35">
      <c r="A541" s="17"/>
      <c r="B541" s="17"/>
      <c r="C541" s="17"/>
    </row>
    <row r="542" spans="1:3" ht="13.5" customHeight="1" x14ac:dyDescent="0.35">
      <c r="A542" s="17"/>
      <c r="B542" s="17"/>
      <c r="C542" s="17"/>
    </row>
    <row r="543" spans="1:3" ht="13.5" customHeight="1" x14ac:dyDescent="0.35">
      <c r="A543" s="17"/>
      <c r="B543" s="17"/>
      <c r="C543" s="17"/>
    </row>
    <row r="544" spans="1:3" ht="13.5" customHeight="1" x14ac:dyDescent="0.35">
      <c r="A544" s="17"/>
      <c r="B544" s="17"/>
      <c r="C544" s="17"/>
    </row>
    <row r="545" spans="1:3" ht="13.5" customHeight="1" x14ac:dyDescent="0.35">
      <c r="A545" s="17"/>
      <c r="B545" s="17"/>
      <c r="C545" s="17"/>
    </row>
    <row r="546" spans="1:3" ht="13.5" customHeight="1" x14ac:dyDescent="0.35">
      <c r="A546" s="17"/>
      <c r="B546" s="17"/>
      <c r="C546" s="17"/>
    </row>
    <row r="547" spans="1:3" ht="13.5" customHeight="1" x14ac:dyDescent="0.35">
      <c r="A547" s="17"/>
      <c r="B547" s="17"/>
      <c r="C547" s="17"/>
    </row>
    <row r="548" spans="1:3" ht="13.5" customHeight="1" x14ac:dyDescent="0.35">
      <c r="A548" s="17"/>
      <c r="B548" s="17"/>
      <c r="C548" s="17"/>
    </row>
    <row r="549" spans="1:3" ht="13.5" customHeight="1" x14ac:dyDescent="0.35">
      <c r="A549" s="17"/>
      <c r="B549" s="17"/>
      <c r="C549" s="17"/>
    </row>
    <row r="550" spans="1:3" ht="13.5" customHeight="1" x14ac:dyDescent="0.35">
      <c r="A550" s="17"/>
      <c r="B550" s="17"/>
      <c r="C550" s="17"/>
    </row>
    <row r="551" spans="1:3" ht="13.5" customHeight="1" x14ac:dyDescent="0.35">
      <c r="A551" s="17"/>
      <c r="B551" s="17"/>
      <c r="C551" s="17"/>
    </row>
    <row r="552" spans="1:3" ht="13.5" customHeight="1" x14ac:dyDescent="0.35">
      <c r="A552" s="17"/>
      <c r="B552" s="17"/>
      <c r="C552" s="17"/>
    </row>
    <row r="553" spans="1:3" ht="13.5" customHeight="1" x14ac:dyDescent="0.35">
      <c r="A553" s="17"/>
      <c r="B553" s="17"/>
      <c r="C553" s="17"/>
    </row>
    <row r="554" spans="1:3" ht="13.5" customHeight="1" x14ac:dyDescent="0.35">
      <c r="A554" s="17"/>
      <c r="B554" s="17"/>
      <c r="C554" s="17"/>
    </row>
    <row r="555" spans="1:3" ht="13.5" customHeight="1" x14ac:dyDescent="0.35">
      <c r="A555" s="17"/>
      <c r="B555" s="17"/>
      <c r="C555" s="17"/>
    </row>
    <row r="556" spans="1:3" ht="13.5" customHeight="1" x14ac:dyDescent="0.35">
      <c r="A556" s="17"/>
      <c r="B556" s="17"/>
      <c r="C556" s="17"/>
    </row>
    <row r="557" spans="1:3" ht="13.5" customHeight="1" x14ac:dyDescent="0.35">
      <c r="A557" s="17"/>
      <c r="B557" s="17"/>
      <c r="C557" s="17"/>
    </row>
    <row r="558" spans="1:3" ht="13.5" customHeight="1" x14ac:dyDescent="0.35">
      <c r="A558" s="17"/>
      <c r="B558" s="17"/>
      <c r="C558" s="17"/>
    </row>
    <row r="559" spans="1:3" ht="13.5" customHeight="1" x14ac:dyDescent="0.35">
      <c r="A559" s="17"/>
      <c r="B559" s="17"/>
      <c r="C559" s="17"/>
    </row>
    <row r="560" spans="1:3" ht="13.5" customHeight="1" x14ac:dyDescent="0.35">
      <c r="A560" s="17"/>
      <c r="B560" s="17"/>
      <c r="C560" s="17"/>
    </row>
    <row r="561" spans="1:3" ht="13.5" customHeight="1" x14ac:dyDescent="0.35">
      <c r="A561" s="17"/>
      <c r="B561" s="17"/>
      <c r="C561" s="17"/>
    </row>
    <row r="562" spans="1:3" ht="13.5" customHeight="1" x14ac:dyDescent="0.35">
      <c r="A562" s="17"/>
      <c r="B562" s="17"/>
      <c r="C562" s="17"/>
    </row>
    <row r="563" spans="1:3" ht="13.5" customHeight="1" x14ac:dyDescent="0.35">
      <c r="A563" s="17"/>
      <c r="B563" s="17"/>
      <c r="C563" s="17"/>
    </row>
    <row r="564" spans="1:3" ht="13.5" customHeight="1" x14ac:dyDescent="0.35">
      <c r="A564" s="17"/>
      <c r="B564" s="17"/>
      <c r="C564" s="17"/>
    </row>
    <row r="565" spans="1:3" ht="13.5" customHeight="1" x14ac:dyDescent="0.35">
      <c r="A565" s="17"/>
      <c r="B565" s="17"/>
      <c r="C565" s="17"/>
    </row>
    <row r="566" spans="1:3" ht="13.5" customHeight="1" x14ac:dyDescent="0.35">
      <c r="A566" s="17"/>
      <c r="B566" s="17"/>
      <c r="C566" s="17"/>
    </row>
    <row r="567" spans="1:3" ht="13.5" customHeight="1" x14ac:dyDescent="0.35">
      <c r="A567" s="17"/>
      <c r="B567" s="17"/>
      <c r="C567" s="17"/>
    </row>
    <row r="568" spans="1:3" ht="13.5" customHeight="1" x14ac:dyDescent="0.35">
      <c r="A568" s="17"/>
      <c r="B568" s="17"/>
      <c r="C568" s="17"/>
    </row>
    <row r="569" spans="1:3" ht="13.5" customHeight="1" x14ac:dyDescent="0.35">
      <c r="A569" s="17"/>
      <c r="B569" s="17"/>
      <c r="C569" s="17"/>
    </row>
    <row r="570" spans="1:3" ht="13.5" customHeight="1" x14ac:dyDescent="0.35">
      <c r="A570" s="17"/>
      <c r="B570" s="17"/>
      <c r="C570" s="17"/>
    </row>
    <row r="571" spans="1:3" ht="13.5" customHeight="1" x14ac:dyDescent="0.35">
      <c r="A571" s="17"/>
      <c r="B571" s="17"/>
      <c r="C571" s="17"/>
    </row>
    <row r="572" spans="1:3" ht="13.5" customHeight="1" x14ac:dyDescent="0.35">
      <c r="A572" s="17"/>
      <c r="B572" s="17"/>
      <c r="C572" s="17"/>
    </row>
    <row r="573" spans="1:3" ht="13.5" customHeight="1" x14ac:dyDescent="0.35">
      <c r="A573" s="17"/>
      <c r="B573" s="17"/>
      <c r="C573" s="17"/>
    </row>
    <row r="574" spans="1:3" ht="13.5" customHeight="1" x14ac:dyDescent="0.35">
      <c r="A574" s="17"/>
      <c r="B574" s="17"/>
      <c r="C574" s="17"/>
    </row>
    <row r="575" spans="1:3" ht="13.5" customHeight="1" x14ac:dyDescent="0.35">
      <c r="A575" s="17"/>
      <c r="B575" s="17"/>
      <c r="C575" s="17"/>
    </row>
    <row r="576" spans="1:3" ht="13.5" customHeight="1" x14ac:dyDescent="0.35">
      <c r="A576" s="17"/>
      <c r="B576" s="17"/>
      <c r="C576" s="17"/>
    </row>
    <row r="577" spans="1:3" ht="13.5" customHeight="1" x14ac:dyDescent="0.35">
      <c r="A577" s="17"/>
      <c r="B577" s="17"/>
      <c r="C577" s="17"/>
    </row>
    <row r="578" spans="1:3" ht="13.5" customHeight="1" x14ac:dyDescent="0.35">
      <c r="A578" s="17"/>
      <c r="B578" s="17"/>
      <c r="C578" s="17"/>
    </row>
    <row r="579" spans="1:3" ht="13.5" customHeight="1" x14ac:dyDescent="0.35">
      <c r="A579" s="17"/>
      <c r="B579" s="17"/>
      <c r="C579" s="17"/>
    </row>
    <row r="580" spans="1:3" ht="13.5" customHeight="1" x14ac:dyDescent="0.35">
      <c r="A580" s="17"/>
      <c r="B580" s="17"/>
      <c r="C580" s="17"/>
    </row>
    <row r="581" spans="1:3" ht="13.5" customHeight="1" x14ac:dyDescent="0.35">
      <c r="A581" s="17"/>
      <c r="B581" s="17"/>
      <c r="C581" s="17"/>
    </row>
    <row r="582" spans="1:3" ht="13.5" customHeight="1" x14ac:dyDescent="0.35">
      <c r="A582" s="17"/>
      <c r="B582" s="17"/>
      <c r="C582" s="17"/>
    </row>
    <row r="583" spans="1:3" ht="13.5" customHeight="1" x14ac:dyDescent="0.35">
      <c r="A583" s="17"/>
      <c r="B583" s="17"/>
      <c r="C583" s="17"/>
    </row>
    <row r="584" spans="1:3" ht="13.5" customHeight="1" x14ac:dyDescent="0.35">
      <c r="A584" s="17"/>
      <c r="B584" s="17"/>
      <c r="C584" s="17"/>
    </row>
    <row r="585" spans="1:3" ht="13.5" customHeight="1" x14ac:dyDescent="0.35">
      <c r="A585" s="17"/>
      <c r="B585" s="17"/>
      <c r="C585" s="17"/>
    </row>
    <row r="586" spans="1:3" ht="13.5" customHeight="1" x14ac:dyDescent="0.35">
      <c r="A586" s="17"/>
      <c r="B586" s="17"/>
      <c r="C586" s="17"/>
    </row>
    <row r="587" spans="1:3" ht="13.5" customHeight="1" x14ac:dyDescent="0.35">
      <c r="A587" s="17"/>
      <c r="B587" s="17"/>
      <c r="C587" s="17"/>
    </row>
    <row r="588" spans="1:3" ht="13.5" customHeight="1" x14ac:dyDescent="0.35">
      <c r="A588" s="17"/>
      <c r="B588" s="17"/>
      <c r="C588" s="17"/>
    </row>
    <row r="589" spans="1:3" ht="13.5" customHeight="1" x14ac:dyDescent="0.35">
      <c r="A589" s="17"/>
      <c r="B589" s="17"/>
      <c r="C589" s="17"/>
    </row>
    <row r="590" spans="1:3" ht="13.5" customHeight="1" x14ac:dyDescent="0.35">
      <c r="A590" s="17"/>
      <c r="B590" s="17"/>
      <c r="C590" s="17"/>
    </row>
    <row r="591" spans="1:3" ht="13.5" customHeight="1" x14ac:dyDescent="0.35">
      <c r="A591" s="17"/>
      <c r="B591" s="17"/>
      <c r="C591" s="17"/>
    </row>
    <row r="592" spans="1:3" ht="13.5" customHeight="1" x14ac:dyDescent="0.35">
      <c r="A592" s="17"/>
      <c r="B592" s="17"/>
      <c r="C592" s="17"/>
    </row>
    <row r="593" spans="1:3" ht="13.5" customHeight="1" x14ac:dyDescent="0.35">
      <c r="A593" s="17"/>
      <c r="B593" s="17"/>
      <c r="C593" s="17"/>
    </row>
    <row r="594" spans="1:3" ht="13.5" customHeight="1" x14ac:dyDescent="0.35">
      <c r="A594" s="17"/>
      <c r="B594" s="17"/>
      <c r="C594" s="17"/>
    </row>
    <row r="595" spans="1:3" ht="13.5" customHeight="1" x14ac:dyDescent="0.35">
      <c r="A595" s="17"/>
      <c r="B595" s="17"/>
      <c r="C595" s="17"/>
    </row>
    <row r="596" spans="1:3" ht="13.5" customHeight="1" x14ac:dyDescent="0.35">
      <c r="A596" s="17"/>
      <c r="B596" s="17"/>
      <c r="C596" s="17"/>
    </row>
    <row r="597" spans="1:3" ht="13.5" customHeight="1" x14ac:dyDescent="0.35">
      <c r="A597" s="17"/>
      <c r="B597" s="17"/>
      <c r="C597" s="17"/>
    </row>
    <row r="598" spans="1:3" ht="13.5" customHeight="1" x14ac:dyDescent="0.35">
      <c r="A598" s="17"/>
      <c r="B598" s="17"/>
      <c r="C598" s="17"/>
    </row>
    <row r="599" spans="1:3" ht="13.5" customHeight="1" x14ac:dyDescent="0.35">
      <c r="A599" s="17"/>
      <c r="B599" s="17"/>
      <c r="C599" s="17"/>
    </row>
    <row r="600" spans="1:3" ht="13.5" customHeight="1" x14ac:dyDescent="0.35">
      <c r="A600" s="17"/>
      <c r="B600" s="17"/>
      <c r="C600" s="17"/>
    </row>
    <row r="601" spans="1:3" ht="13.5" customHeight="1" x14ac:dyDescent="0.35">
      <c r="A601" s="17"/>
      <c r="B601" s="17"/>
      <c r="C601" s="17"/>
    </row>
    <row r="602" spans="1:3" ht="13.5" customHeight="1" x14ac:dyDescent="0.35">
      <c r="A602" s="17"/>
      <c r="B602" s="17"/>
      <c r="C602" s="17"/>
    </row>
    <row r="603" spans="1:3" ht="13.5" customHeight="1" x14ac:dyDescent="0.35">
      <c r="A603" s="17"/>
      <c r="B603" s="17"/>
      <c r="C603" s="17"/>
    </row>
    <row r="604" spans="1:3" ht="13.5" customHeight="1" x14ac:dyDescent="0.35">
      <c r="A604" s="17"/>
      <c r="B604" s="17"/>
      <c r="C604" s="17"/>
    </row>
    <row r="605" spans="1:3" ht="13.5" customHeight="1" x14ac:dyDescent="0.35">
      <c r="A605" s="17"/>
      <c r="B605" s="17"/>
      <c r="C605" s="17"/>
    </row>
    <row r="606" spans="1:3" ht="13.5" customHeight="1" x14ac:dyDescent="0.35">
      <c r="A606" s="17"/>
      <c r="B606" s="17"/>
      <c r="C606" s="17"/>
    </row>
    <row r="607" spans="1:3" ht="13.5" customHeight="1" x14ac:dyDescent="0.35">
      <c r="A607" s="17"/>
      <c r="B607" s="17"/>
      <c r="C607" s="17"/>
    </row>
    <row r="608" spans="1:3" ht="13.5" customHeight="1" x14ac:dyDescent="0.35">
      <c r="A608" s="17"/>
      <c r="B608" s="17"/>
      <c r="C608" s="17"/>
    </row>
    <row r="609" spans="1:3" ht="13.5" customHeight="1" x14ac:dyDescent="0.35">
      <c r="A609" s="17"/>
      <c r="B609" s="17"/>
      <c r="C609" s="17"/>
    </row>
    <row r="610" spans="1:3" ht="13.5" customHeight="1" x14ac:dyDescent="0.35">
      <c r="A610" s="17"/>
      <c r="B610" s="17"/>
      <c r="C610" s="17"/>
    </row>
    <row r="611" spans="1:3" ht="13.5" customHeight="1" x14ac:dyDescent="0.35">
      <c r="A611" s="17"/>
      <c r="B611" s="17"/>
      <c r="C611" s="17"/>
    </row>
    <row r="612" spans="1:3" ht="13.5" customHeight="1" x14ac:dyDescent="0.35">
      <c r="A612" s="17"/>
      <c r="B612" s="17"/>
      <c r="C612" s="17"/>
    </row>
    <row r="613" spans="1:3" ht="13.5" customHeight="1" x14ac:dyDescent="0.35">
      <c r="A613" s="17"/>
      <c r="B613" s="17"/>
      <c r="C613" s="17"/>
    </row>
    <row r="614" spans="1:3" ht="13.5" customHeight="1" x14ac:dyDescent="0.35">
      <c r="A614" s="17"/>
      <c r="B614" s="17"/>
      <c r="C614" s="17"/>
    </row>
    <row r="615" spans="1:3" ht="13.5" customHeight="1" x14ac:dyDescent="0.35">
      <c r="A615" s="17"/>
      <c r="B615" s="17"/>
      <c r="C615" s="17"/>
    </row>
    <row r="616" spans="1:3" ht="13.5" customHeight="1" x14ac:dyDescent="0.35">
      <c r="A616" s="17"/>
      <c r="B616" s="17"/>
      <c r="C616" s="17"/>
    </row>
    <row r="617" spans="1:3" ht="13.5" customHeight="1" x14ac:dyDescent="0.35">
      <c r="A617" s="17"/>
      <c r="B617" s="17"/>
      <c r="C617" s="17"/>
    </row>
    <row r="618" spans="1:3" ht="13.5" customHeight="1" x14ac:dyDescent="0.35">
      <c r="A618" s="17"/>
      <c r="B618" s="17"/>
      <c r="C618" s="17"/>
    </row>
    <row r="619" spans="1:3" ht="13.5" customHeight="1" x14ac:dyDescent="0.35">
      <c r="A619" s="17"/>
      <c r="B619" s="17"/>
      <c r="C619" s="17"/>
    </row>
    <row r="620" spans="1:3" ht="13.5" customHeight="1" x14ac:dyDescent="0.35">
      <c r="A620" s="17"/>
      <c r="B620" s="17"/>
      <c r="C620" s="17"/>
    </row>
    <row r="621" spans="1:3" ht="13.5" customHeight="1" x14ac:dyDescent="0.35">
      <c r="A621" s="17"/>
      <c r="B621" s="17"/>
      <c r="C621" s="17"/>
    </row>
    <row r="622" spans="1:3" ht="13.5" customHeight="1" x14ac:dyDescent="0.35">
      <c r="A622" s="17"/>
      <c r="B622" s="17"/>
      <c r="C622" s="17"/>
    </row>
    <row r="623" spans="1:3" ht="13.5" customHeight="1" x14ac:dyDescent="0.35">
      <c r="A623" s="17"/>
      <c r="B623" s="17"/>
      <c r="C623" s="17"/>
    </row>
    <row r="624" spans="1:3" ht="13.5" customHeight="1" x14ac:dyDescent="0.35">
      <c r="A624" s="17"/>
      <c r="B624" s="17"/>
      <c r="C624" s="17"/>
    </row>
    <row r="625" spans="1:3" ht="13.5" customHeight="1" x14ac:dyDescent="0.35">
      <c r="A625" s="17"/>
      <c r="B625" s="17"/>
      <c r="C625" s="17"/>
    </row>
    <row r="626" spans="1:3" ht="13.5" customHeight="1" x14ac:dyDescent="0.35">
      <c r="A626" s="17"/>
      <c r="B626" s="17"/>
      <c r="C626" s="17"/>
    </row>
    <row r="627" spans="1:3" ht="13.5" customHeight="1" x14ac:dyDescent="0.35">
      <c r="A627" s="17"/>
      <c r="B627" s="17"/>
      <c r="C627" s="17"/>
    </row>
    <row r="628" spans="1:3" ht="13.5" customHeight="1" x14ac:dyDescent="0.35">
      <c r="A628" s="17"/>
      <c r="B628" s="17"/>
      <c r="C628" s="17"/>
    </row>
    <row r="629" spans="1:3" ht="13.5" customHeight="1" x14ac:dyDescent="0.35">
      <c r="A629" s="17"/>
      <c r="B629" s="17"/>
      <c r="C629" s="17"/>
    </row>
    <row r="630" spans="1:3" ht="13.5" customHeight="1" x14ac:dyDescent="0.35">
      <c r="A630" s="17"/>
      <c r="B630" s="17"/>
      <c r="C630" s="17"/>
    </row>
    <row r="631" spans="1:3" ht="13.5" customHeight="1" x14ac:dyDescent="0.35">
      <c r="A631" s="17"/>
      <c r="B631" s="17"/>
      <c r="C631" s="17"/>
    </row>
    <row r="632" spans="1:3" ht="13.5" customHeight="1" x14ac:dyDescent="0.35">
      <c r="A632" s="17"/>
      <c r="B632" s="17"/>
      <c r="C632" s="17"/>
    </row>
    <row r="633" spans="1:3" ht="13.5" customHeight="1" x14ac:dyDescent="0.35">
      <c r="A633" s="17"/>
      <c r="B633" s="17"/>
      <c r="C633" s="17"/>
    </row>
    <row r="634" spans="1:3" ht="13.5" customHeight="1" x14ac:dyDescent="0.35">
      <c r="A634" s="17"/>
      <c r="B634" s="17"/>
      <c r="C634" s="17"/>
    </row>
    <row r="635" spans="1:3" ht="13.5" customHeight="1" x14ac:dyDescent="0.35">
      <c r="A635" s="17"/>
      <c r="B635" s="17"/>
      <c r="C635" s="17"/>
    </row>
    <row r="636" spans="1:3" ht="13.5" customHeight="1" x14ac:dyDescent="0.35">
      <c r="A636" s="17"/>
      <c r="B636" s="17"/>
      <c r="C636" s="17"/>
    </row>
    <row r="637" spans="1:3" ht="13.5" customHeight="1" x14ac:dyDescent="0.35">
      <c r="A637" s="17"/>
      <c r="B637" s="17"/>
      <c r="C637" s="17"/>
    </row>
    <row r="638" spans="1:3" ht="13.5" customHeight="1" x14ac:dyDescent="0.35">
      <c r="A638" s="17"/>
      <c r="B638" s="17"/>
      <c r="C638" s="17"/>
    </row>
    <row r="639" spans="1:3" ht="13.5" customHeight="1" x14ac:dyDescent="0.35">
      <c r="A639" s="17"/>
      <c r="B639" s="17"/>
      <c r="C639" s="17"/>
    </row>
    <row r="640" spans="1:3" ht="13.5" customHeight="1" x14ac:dyDescent="0.35">
      <c r="A640" s="17"/>
      <c r="B640" s="17"/>
      <c r="C640" s="17"/>
    </row>
    <row r="641" spans="1:3" ht="13.5" customHeight="1" x14ac:dyDescent="0.35">
      <c r="A641" s="17"/>
      <c r="B641" s="17"/>
      <c r="C641" s="17"/>
    </row>
    <row r="642" spans="1:3" ht="13.5" customHeight="1" x14ac:dyDescent="0.35">
      <c r="A642" s="17"/>
      <c r="B642" s="17"/>
      <c r="C642" s="17"/>
    </row>
    <row r="643" spans="1:3" ht="13.5" customHeight="1" x14ac:dyDescent="0.35">
      <c r="A643" s="17"/>
      <c r="B643" s="17"/>
      <c r="C643" s="17"/>
    </row>
    <row r="644" spans="1:3" ht="13.5" customHeight="1" x14ac:dyDescent="0.35">
      <c r="A644" s="17"/>
      <c r="B644" s="17"/>
      <c r="C644" s="17"/>
    </row>
    <row r="645" spans="1:3" ht="13.5" customHeight="1" x14ac:dyDescent="0.35">
      <c r="A645" s="17"/>
      <c r="B645" s="17"/>
      <c r="C645" s="17"/>
    </row>
    <row r="646" spans="1:3" ht="13.5" customHeight="1" x14ac:dyDescent="0.35">
      <c r="A646" s="17"/>
      <c r="B646" s="17"/>
      <c r="C646" s="17"/>
    </row>
    <row r="647" spans="1:3" ht="13.5" customHeight="1" x14ac:dyDescent="0.35">
      <c r="A647" s="17"/>
      <c r="B647" s="17"/>
      <c r="C647" s="17"/>
    </row>
    <row r="648" spans="1:3" ht="13.5" customHeight="1" x14ac:dyDescent="0.35">
      <c r="A648" s="17"/>
      <c r="B648" s="17"/>
      <c r="C648" s="17"/>
    </row>
    <row r="649" spans="1:3" ht="13.5" customHeight="1" x14ac:dyDescent="0.35">
      <c r="A649" s="17"/>
      <c r="B649" s="17"/>
      <c r="C649" s="17"/>
    </row>
    <row r="650" spans="1:3" ht="13.5" customHeight="1" x14ac:dyDescent="0.35">
      <c r="A650" s="17"/>
      <c r="B650" s="17"/>
      <c r="C650" s="17"/>
    </row>
    <row r="651" spans="1:3" ht="13.5" customHeight="1" x14ac:dyDescent="0.35">
      <c r="A651" s="17"/>
      <c r="B651" s="17"/>
      <c r="C651" s="17"/>
    </row>
    <row r="652" spans="1:3" ht="13.5" customHeight="1" x14ac:dyDescent="0.35">
      <c r="A652" s="17"/>
      <c r="B652" s="17"/>
      <c r="C652" s="17"/>
    </row>
    <row r="653" spans="1:3" ht="13.5" customHeight="1" x14ac:dyDescent="0.35">
      <c r="A653" s="17"/>
      <c r="B653" s="17"/>
      <c r="C653" s="17"/>
    </row>
    <row r="654" spans="1:3" ht="13.5" customHeight="1" x14ac:dyDescent="0.35">
      <c r="A654" s="17"/>
      <c r="B654" s="17"/>
      <c r="C654" s="17"/>
    </row>
    <row r="655" spans="1:3" ht="13.5" customHeight="1" x14ac:dyDescent="0.35">
      <c r="A655" s="17"/>
      <c r="B655" s="17"/>
      <c r="C655" s="17"/>
    </row>
    <row r="656" spans="1:3" ht="13.5" customHeight="1" x14ac:dyDescent="0.35">
      <c r="A656" s="17"/>
      <c r="B656" s="17"/>
      <c r="C656" s="17"/>
    </row>
    <row r="657" spans="1:3" ht="13.5" customHeight="1" x14ac:dyDescent="0.35">
      <c r="A657" s="17"/>
      <c r="B657" s="17"/>
      <c r="C657" s="17"/>
    </row>
    <row r="658" spans="1:3" ht="13.5" customHeight="1" x14ac:dyDescent="0.35">
      <c r="A658" s="17"/>
      <c r="B658" s="17"/>
      <c r="C658" s="17"/>
    </row>
    <row r="659" spans="1:3" ht="13.5" customHeight="1" x14ac:dyDescent="0.35">
      <c r="A659" s="17"/>
      <c r="B659" s="17"/>
      <c r="C659" s="17"/>
    </row>
    <row r="660" spans="1:3" ht="13.5" customHeight="1" x14ac:dyDescent="0.35">
      <c r="A660" s="17"/>
      <c r="B660" s="17"/>
      <c r="C660" s="17"/>
    </row>
    <row r="661" spans="1:3" ht="13.5" customHeight="1" x14ac:dyDescent="0.35">
      <c r="A661" s="17"/>
      <c r="B661" s="17"/>
      <c r="C661" s="17"/>
    </row>
    <row r="662" spans="1:3" ht="13.5" customHeight="1" x14ac:dyDescent="0.35">
      <c r="A662" s="17"/>
      <c r="B662" s="17"/>
      <c r="C662" s="17"/>
    </row>
    <row r="663" spans="1:3" ht="13.5" customHeight="1" x14ac:dyDescent="0.35">
      <c r="A663" s="17"/>
      <c r="B663" s="17"/>
      <c r="C663" s="17"/>
    </row>
    <row r="664" spans="1:3" ht="13.5" customHeight="1" x14ac:dyDescent="0.35">
      <c r="A664" s="17"/>
      <c r="B664" s="17"/>
      <c r="C664" s="17"/>
    </row>
    <row r="665" spans="1:3" ht="13.5" customHeight="1" x14ac:dyDescent="0.35">
      <c r="A665" s="17"/>
      <c r="B665" s="17"/>
      <c r="C665" s="17"/>
    </row>
    <row r="666" spans="1:3" ht="13.5" customHeight="1" x14ac:dyDescent="0.35">
      <c r="A666" s="17"/>
      <c r="B666" s="17"/>
      <c r="C666" s="17"/>
    </row>
    <row r="667" spans="1:3" ht="13.5" customHeight="1" x14ac:dyDescent="0.35">
      <c r="A667" s="17"/>
      <c r="B667" s="17"/>
      <c r="C667" s="17"/>
    </row>
    <row r="668" spans="1:3" ht="13.5" customHeight="1" x14ac:dyDescent="0.35">
      <c r="A668" s="17"/>
      <c r="B668" s="17"/>
      <c r="C668" s="17"/>
    </row>
    <row r="669" spans="1:3" ht="13.5" customHeight="1" x14ac:dyDescent="0.35">
      <c r="A669" s="17"/>
      <c r="B669" s="17"/>
      <c r="C669" s="17"/>
    </row>
    <row r="670" spans="1:3" ht="13.5" customHeight="1" x14ac:dyDescent="0.35">
      <c r="A670" s="17"/>
      <c r="B670" s="17"/>
      <c r="C670" s="17"/>
    </row>
    <row r="671" spans="1:3" ht="13.5" customHeight="1" x14ac:dyDescent="0.35">
      <c r="A671" s="17"/>
      <c r="B671" s="17"/>
      <c r="C671" s="17"/>
    </row>
    <row r="672" spans="1:3" ht="13.5" customHeight="1" x14ac:dyDescent="0.35">
      <c r="A672" s="17"/>
      <c r="B672" s="17"/>
      <c r="C672" s="17"/>
    </row>
    <row r="673" spans="1:3" ht="13.5" customHeight="1" x14ac:dyDescent="0.35">
      <c r="A673" s="17"/>
      <c r="B673" s="17"/>
      <c r="C673" s="17"/>
    </row>
    <row r="674" spans="1:3" ht="13.5" customHeight="1" x14ac:dyDescent="0.35">
      <c r="A674" s="17"/>
      <c r="B674" s="17"/>
      <c r="C674" s="17"/>
    </row>
    <row r="675" spans="1:3" ht="13.5" customHeight="1" x14ac:dyDescent="0.35">
      <c r="A675" s="17"/>
      <c r="B675" s="17"/>
      <c r="C675" s="17"/>
    </row>
    <row r="676" spans="1:3" ht="13.5" customHeight="1" x14ac:dyDescent="0.35">
      <c r="A676" s="17"/>
      <c r="B676" s="17"/>
      <c r="C676" s="17"/>
    </row>
    <row r="677" spans="1:3" ht="13.5" customHeight="1" x14ac:dyDescent="0.35">
      <c r="A677" s="17"/>
      <c r="B677" s="17"/>
      <c r="C677" s="17"/>
    </row>
    <row r="678" spans="1:3" ht="13.5" customHeight="1" x14ac:dyDescent="0.35">
      <c r="A678" s="17"/>
      <c r="B678" s="17"/>
      <c r="C678" s="17"/>
    </row>
    <row r="679" spans="1:3" ht="13.5" customHeight="1" x14ac:dyDescent="0.35">
      <c r="A679" s="17"/>
      <c r="B679" s="17"/>
      <c r="C679" s="17"/>
    </row>
    <row r="680" spans="1:3" ht="13.5" customHeight="1" x14ac:dyDescent="0.35">
      <c r="A680" s="17"/>
      <c r="B680" s="17"/>
      <c r="C680" s="17"/>
    </row>
    <row r="681" spans="1:3" ht="13.5" customHeight="1" x14ac:dyDescent="0.35">
      <c r="A681" s="17"/>
      <c r="B681" s="17"/>
      <c r="C681" s="17"/>
    </row>
    <row r="682" spans="1:3" ht="13.5" customHeight="1" x14ac:dyDescent="0.35">
      <c r="A682" s="17"/>
      <c r="B682" s="17"/>
      <c r="C682" s="17"/>
    </row>
    <row r="683" spans="1:3" ht="13.5" customHeight="1" x14ac:dyDescent="0.35">
      <c r="A683" s="17"/>
      <c r="B683" s="17"/>
      <c r="C683" s="17"/>
    </row>
    <row r="684" spans="1:3" ht="13.5" customHeight="1" x14ac:dyDescent="0.35">
      <c r="A684" s="17"/>
      <c r="B684" s="17"/>
      <c r="C684" s="17"/>
    </row>
    <row r="685" spans="1:3" ht="13.5" customHeight="1" x14ac:dyDescent="0.35">
      <c r="A685" s="17"/>
      <c r="B685" s="17"/>
      <c r="C685" s="17"/>
    </row>
    <row r="686" spans="1:3" ht="13.5" customHeight="1" x14ac:dyDescent="0.35">
      <c r="A686" s="17"/>
      <c r="B686" s="17"/>
      <c r="C686" s="17"/>
    </row>
    <row r="687" spans="1:3" ht="13.5" customHeight="1" x14ac:dyDescent="0.35">
      <c r="A687" s="17"/>
      <c r="B687" s="17"/>
      <c r="C687" s="17"/>
    </row>
    <row r="688" spans="1:3" ht="13.5" customHeight="1" x14ac:dyDescent="0.35">
      <c r="A688" s="17"/>
      <c r="B688" s="17"/>
      <c r="C688" s="17"/>
    </row>
    <row r="689" spans="1:3" ht="13.5" customHeight="1" x14ac:dyDescent="0.35">
      <c r="A689" s="17"/>
      <c r="B689" s="17"/>
      <c r="C689" s="17"/>
    </row>
    <row r="690" spans="1:3" ht="13.5" customHeight="1" x14ac:dyDescent="0.35">
      <c r="A690" s="17"/>
      <c r="B690" s="17"/>
      <c r="C690" s="17"/>
    </row>
    <row r="691" spans="1:3" ht="13.5" customHeight="1" x14ac:dyDescent="0.35">
      <c r="A691" s="17"/>
      <c r="B691" s="17"/>
      <c r="C691" s="17"/>
    </row>
    <row r="692" spans="1:3" ht="13.5" customHeight="1" x14ac:dyDescent="0.35">
      <c r="A692" s="17"/>
      <c r="B692" s="17"/>
      <c r="C692" s="17"/>
    </row>
    <row r="693" spans="1:3" ht="13.5" customHeight="1" x14ac:dyDescent="0.35">
      <c r="A693" s="17"/>
      <c r="B693" s="17"/>
      <c r="C693" s="17"/>
    </row>
    <row r="694" spans="1:3" ht="13.5" customHeight="1" x14ac:dyDescent="0.35">
      <c r="A694" s="17"/>
      <c r="B694" s="17"/>
      <c r="C694" s="17"/>
    </row>
    <row r="695" spans="1:3" ht="13.5" customHeight="1" x14ac:dyDescent="0.35">
      <c r="A695" s="17"/>
      <c r="B695" s="17"/>
      <c r="C695" s="17"/>
    </row>
    <row r="696" spans="1:3" ht="13.5" customHeight="1" x14ac:dyDescent="0.35">
      <c r="A696" s="17"/>
      <c r="B696" s="17"/>
      <c r="C696" s="17"/>
    </row>
    <row r="697" spans="1:3" ht="13.5" customHeight="1" x14ac:dyDescent="0.35">
      <c r="A697" s="17"/>
      <c r="B697" s="17"/>
      <c r="C697" s="17"/>
    </row>
    <row r="698" spans="1:3" ht="13.5" customHeight="1" x14ac:dyDescent="0.35">
      <c r="A698" s="17"/>
      <c r="B698" s="17"/>
      <c r="C698" s="17"/>
    </row>
    <row r="699" spans="1:3" ht="13.5" customHeight="1" x14ac:dyDescent="0.35">
      <c r="A699" s="17"/>
      <c r="B699" s="17"/>
      <c r="C699" s="17"/>
    </row>
    <row r="700" spans="1:3" ht="13.5" customHeight="1" x14ac:dyDescent="0.35">
      <c r="A700" s="17"/>
      <c r="B700" s="17"/>
      <c r="C700" s="17"/>
    </row>
    <row r="701" spans="1:3" ht="13.5" customHeight="1" x14ac:dyDescent="0.35">
      <c r="A701" s="17"/>
      <c r="B701" s="17"/>
      <c r="C701" s="17"/>
    </row>
    <row r="702" spans="1:3" ht="13.5" customHeight="1" x14ac:dyDescent="0.35">
      <c r="A702" s="17"/>
      <c r="B702" s="17"/>
      <c r="C702" s="17"/>
    </row>
    <row r="703" spans="1:3" ht="13.5" customHeight="1" x14ac:dyDescent="0.35">
      <c r="A703" s="17"/>
      <c r="B703" s="17"/>
      <c r="C703" s="17"/>
    </row>
    <row r="704" spans="1:3" ht="13.5" customHeight="1" x14ac:dyDescent="0.35">
      <c r="A704" s="17"/>
      <c r="B704" s="17"/>
      <c r="C704" s="17"/>
    </row>
    <row r="705" spans="1:3" ht="13.5" customHeight="1" x14ac:dyDescent="0.35">
      <c r="A705" s="17"/>
      <c r="B705" s="17"/>
      <c r="C705" s="17"/>
    </row>
    <row r="706" spans="1:3" ht="13.5" customHeight="1" x14ac:dyDescent="0.35">
      <c r="A706" s="17"/>
      <c r="B706" s="17"/>
      <c r="C706" s="17"/>
    </row>
    <row r="707" spans="1:3" ht="13.5" customHeight="1" x14ac:dyDescent="0.35">
      <c r="A707" s="17"/>
      <c r="B707" s="17"/>
      <c r="C707" s="17"/>
    </row>
    <row r="708" spans="1:3" ht="13.5" customHeight="1" x14ac:dyDescent="0.35">
      <c r="A708" s="17"/>
      <c r="B708" s="17"/>
      <c r="C708" s="17"/>
    </row>
    <row r="709" spans="1:3" ht="13.5" customHeight="1" x14ac:dyDescent="0.35">
      <c r="A709" s="17"/>
      <c r="B709" s="17"/>
      <c r="C709" s="17"/>
    </row>
    <row r="710" spans="1:3" ht="13.5" customHeight="1" x14ac:dyDescent="0.35">
      <c r="A710" s="17"/>
      <c r="B710" s="17"/>
      <c r="C710" s="17"/>
    </row>
    <row r="711" spans="1:3" ht="13.5" customHeight="1" x14ac:dyDescent="0.35">
      <c r="A711" s="17"/>
      <c r="B711" s="17"/>
      <c r="C711" s="17"/>
    </row>
    <row r="712" spans="1:3" ht="13.5" customHeight="1" x14ac:dyDescent="0.35">
      <c r="A712" s="17"/>
      <c r="B712" s="17"/>
      <c r="C712" s="17"/>
    </row>
    <row r="713" spans="1:3" ht="13.5" customHeight="1" x14ac:dyDescent="0.35">
      <c r="A713" s="17"/>
      <c r="B713" s="17"/>
      <c r="C713" s="17"/>
    </row>
    <row r="714" spans="1:3" ht="13.5" customHeight="1" x14ac:dyDescent="0.35">
      <c r="A714" s="17"/>
      <c r="B714" s="17"/>
      <c r="C714" s="17"/>
    </row>
    <row r="715" spans="1:3" ht="13.5" customHeight="1" x14ac:dyDescent="0.35">
      <c r="A715" s="17"/>
      <c r="B715" s="17"/>
      <c r="C715" s="17"/>
    </row>
    <row r="716" spans="1:3" ht="13.5" customHeight="1" x14ac:dyDescent="0.35">
      <c r="A716" s="17"/>
      <c r="B716" s="17"/>
      <c r="C716" s="17"/>
    </row>
    <row r="717" spans="1:3" ht="13.5" customHeight="1" x14ac:dyDescent="0.35">
      <c r="A717" s="17"/>
      <c r="B717" s="17"/>
      <c r="C717" s="17"/>
    </row>
    <row r="718" spans="1:3" ht="13.5" customHeight="1" x14ac:dyDescent="0.35">
      <c r="A718" s="17"/>
      <c r="B718" s="17"/>
      <c r="C718" s="17"/>
    </row>
    <row r="719" spans="1:3" ht="13.5" customHeight="1" x14ac:dyDescent="0.35">
      <c r="A719" s="17"/>
      <c r="B719" s="17"/>
      <c r="C719" s="17"/>
    </row>
    <row r="720" spans="1:3" ht="13.5" customHeight="1" x14ac:dyDescent="0.35">
      <c r="A720" s="17"/>
      <c r="B720" s="17"/>
      <c r="C720" s="17"/>
    </row>
    <row r="721" spans="1:3" ht="13.5" customHeight="1" x14ac:dyDescent="0.35">
      <c r="A721" s="17"/>
      <c r="B721" s="17"/>
      <c r="C721" s="17"/>
    </row>
    <row r="722" spans="1:3" ht="13.5" customHeight="1" x14ac:dyDescent="0.35">
      <c r="A722" s="17"/>
      <c r="B722" s="17"/>
      <c r="C722" s="17"/>
    </row>
    <row r="723" spans="1:3" ht="13.5" customHeight="1" x14ac:dyDescent="0.35">
      <c r="A723" s="17"/>
      <c r="B723" s="17"/>
      <c r="C723" s="17"/>
    </row>
    <row r="724" spans="1:3" ht="13.5" customHeight="1" x14ac:dyDescent="0.35">
      <c r="A724" s="17"/>
      <c r="B724" s="17"/>
      <c r="C724" s="17"/>
    </row>
    <row r="725" spans="1:3" ht="13.5" customHeight="1" x14ac:dyDescent="0.35">
      <c r="A725" s="17"/>
      <c r="B725" s="17"/>
      <c r="C725" s="17"/>
    </row>
    <row r="726" spans="1:3" ht="13.5" customHeight="1" x14ac:dyDescent="0.35">
      <c r="A726" s="17"/>
      <c r="B726" s="17"/>
      <c r="C726" s="17"/>
    </row>
    <row r="727" spans="1:3" ht="13.5" customHeight="1" x14ac:dyDescent="0.35">
      <c r="A727" s="17"/>
      <c r="B727" s="17"/>
      <c r="C727" s="17"/>
    </row>
    <row r="728" spans="1:3" ht="13.5" customHeight="1" x14ac:dyDescent="0.35">
      <c r="A728" s="17"/>
      <c r="B728" s="17"/>
      <c r="C728" s="17"/>
    </row>
    <row r="729" spans="1:3" ht="13.5" customHeight="1" x14ac:dyDescent="0.35">
      <c r="A729" s="17"/>
      <c r="B729" s="17"/>
      <c r="C729" s="17"/>
    </row>
    <row r="730" spans="1:3" ht="13.5" customHeight="1" x14ac:dyDescent="0.35">
      <c r="A730" s="17"/>
      <c r="B730" s="17"/>
      <c r="C730" s="17"/>
    </row>
    <row r="731" spans="1:3" ht="13.5" customHeight="1" x14ac:dyDescent="0.35">
      <c r="A731" s="17"/>
      <c r="B731" s="17"/>
      <c r="C731" s="17"/>
    </row>
    <row r="732" spans="1:3" ht="13.5" customHeight="1" x14ac:dyDescent="0.35">
      <c r="A732" s="17"/>
      <c r="B732" s="17"/>
      <c r="C732" s="17"/>
    </row>
    <row r="733" spans="1:3" ht="13.5" customHeight="1" x14ac:dyDescent="0.35">
      <c r="A733" s="17"/>
      <c r="B733" s="17"/>
      <c r="C733" s="17"/>
    </row>
    <row r="734" spans="1:3" ht="13.5" customHeight="1" x14ac:dyDescent="0.35">
      <c r="A734" s="17"/>
      <c r="B734" s="17"/>
      <c r="C734" s="17"/>
    </row>
    <row r="735" spans="1:3" ht="13.5" customHeight="1" x14ac:dyDescent="0.35">
      <c r="A735" s="17"/>
      <c r="B735" s="17"/>
      <c r="C735" s="17"/>
    </row>
    <row r="736" spans="1:3" ht="13.5" customHeight="1" x14ac:dyDescent="0.35">
      <c r="A736" s="17"/>
      <c r="B736" s="17"/>
      <c r="C736" s="17"/>
    </row>
    <row r="737" spans="1:3" ht="13.5" customHeight="1" x14ac:dyDescent="0.35">
      <c r="A737" s="17"/>
      <c r="B737" s="17"/>
      <c r="C737" s="17"/>
    </row>
    <row r="738" spans="1:3" ht="13.5" customHeight="1" x14ac:dyDescent="0.35">
      <c r="A738" s="17"/>
      <c r="B738" s="17"/>
      <c r="C738" s="17"/>
    </row>
    <row r="739" spans="1:3" ht="13.5" customHeight="1" x14ac:dyDescent="0.35">
      <c r="A739" s="17"/>
      <c r="B739" s="17"/>
      <c r="C739" s="17"/>
    </row>
    <row r="740" spans="1:3" ht="13.5" customHeight="1" x14ac:dyDescent="0.35">
      <c r="A740" s="17"/>
      <c r="B740" s="17"/>
      <c r="C740" s="17"/>
    </row>
    <row r="741" spans="1:3" ht="13.5" customHeight="1" x14ac:dyDescent="0.35">
      <c r="A741" s="17"/>
      <c r="B741" s="17"/>
      <c r="C741" s="17"/>
    </row>
    <row r="742" spans="1:3" ht="13.5" customHeight="1" x14ac:dyDescent="0.35">
      <c r="A742" s="17"/>
      <c r="B742" s="17"/>
      <c r="C742" s="17"/>
    </row>
    <row r="743" spans="1:3" ht="13.5" customHeight="1" x14ac:dyDescent="0.35">
      <c r="A743" s="17"/>
      <c r="B743" s="17"/>
      <c r="C743" s="17"/>
    </row>
    <row r="744" spans="1:3" ht="13.5" customHeight="1" x14ac:dyDescent="0.35">
      <c r="A744" s="17"/>
      <c r="B744" s="17"/>
      <c r="C744" s="17"/>
    </row>
    <row r="745" spans="1:3" ht="13.5" customHeight="1" x14ac:dyDescent="0.35">
      <c r="A745" s="17"/>
      <c r="B745" s="17"/>
      <c r="C745" s="17"/>
    </row>
    <row r="746" spans="1:3" ht="13.5" customHeight="1" x14ac:dyDescent="0.35">
      <c r="A746" s="17"/>
      <c r="B746" s="17"/>
      <c r="C746" s="17"/>
    </row>
    <row r="747" spans="1:3" ht="13.5" customHeight="1" x14ac:dyDescent="0.35">
      <c r="A747" s="17"/>
      <c r="B747" s="17"/>
      <c r="C747" s="17"/>
    </row>
    <row r="748" spans="1:3" ht="13.5" customHeight="1" x14ac:dyDescent="0.35">
      <c r="A748" s="17"/>
      <c r="B748" s="17"/>
      <c r="C748" s="17"/>
    </row>
    <row r="749" spans="1:3" ht="13.5" customHeight="1" x14ac:dyDescent="0.35">
      <c r="A749" s="17"/>
      <c r="B749" s="17"/>
      <c r="C749" s="17"/>
    </row>
    <row r="750" spans="1:3" ht="13.5" customHeight="1" x14ac:dyDescent="0.35">
      <c r="A750" s="17"/>
      <c r="B750" s="17"/>
      <c r="C750" s="17"/>
    </row>
    <row r="751" spans="1:3" ht="13.5" customHeight="1" x14ac:dyDescent="0.35">
      <c r="A751" s="17"/>
      <c r="B751" s="17"/>
      <c r="C751" s="17"/>
    </row>
    <row r="752" spans="1:3" ht="13.5" customHeight="1" x14ac:dyDescent="0.35">
      <c r="A752" s="17"/>
      <c r="B752" s="17"/>
      <c r="C752" s="17"/>
    </row>
    <row r="753" spans="1:3" ht="13.5" customHeight="1" x14ac:dyDescent="0.35">
      <c r="A753" s="17"/>
      <c r="B753" s="17"/>
      <c r="C753" s="17"/>
    </row>
    <row r="754" spans="1:3" ht="13.5" customHeight="1" x14ac:dyDescent="0.35">
      <c r="A754" s="17"/>
      <c r="B754" s="17"/>
      <c r="C754" s="17"/>
    </row>
    <row r="755" spans="1:3" ht="13.5" customHeight="1" x14ac:dyDescent="0.35">
      <c r="A755" s="17"/>
      <c r="B755" s="17"/>
      <c r="C755" s="17"/>
    </row>
    <row r="756" spans="1:3" ht="13.5" customHeight="1" x14ac:dyDescent="0.35">
      <c r="A756" s="17"/>
      <c r="B756" s="17"/>
      <c r="C756" s="17"/>
    </row>
    <row r="757" spans="1:3" ht="13.5" customHeight="1" x14ac:dyDescent="0.35">
      <c r="A757" s="17"/>
      <c r="B757" s="17"/>
      <c r="C757" s="17"/>
    </row>
    <row r="758" spans="1:3" ht="13.5" customHeight="1" x14ac:dyDescent="0.35">
      <c r="A758" s="17"/>
      <c r="B758" s="17"/>
      <c r="C758" s="17"/>
    </row>
    <row r="759" spans="1:3" ht="13.5" customHeight="1" x14ac:dyDescent="0.35">
      <c r="A759" s="17"/>
      <c r="B759" s="17"/>
      <c r="C759" s="17"/>
    </row>
    <row r="760" spans="1:3" ht="13.5" customHeight="1" x14ac:dyDescent="0.35">
      <c r="A760" s="17"/>
      <c r="B760" s="17"/>
      <c r="C760" s="17"/>
    </row>
    <row r="761" spans="1:3" ht="13.5" customHeight="1" x14ac:dyDescent="0.35">
      <c r="A761" s="17"/>
      <c r="B761" s="17"/>
      <c r="C761" s="17"/>
    </row>
    <row r="762" spans="1:3" ht="13.5" customHeight="1" x14ac:dyDescent="0.35">
      <c r="A762" s="17"/>
      <c r="B762" s="17"/>
      <c r="C762" s="17"/>
    </row>
    <row r="763" spans="1:3" ht="13.5" customHeight="1" x14ac:dyDescent="0.35">
      <c r="A763" s="17"/>
      <c r="B763" s="17"/>
      <c r="C763" s="17"/>
    </row>
    <row r="764" spans="1:3" ht="13.5" customHeight="1" x14ac:dyDescent="0.35">
      <c r="A764" s="17"/>
      <c r="B764" s="17"/>
      <c r="C764" s="17"/>
    </row>
    <row r="765" spans="1:3" ht="13.5" customHeight="1" x14ac:dyDescent="0.35">
      <c r="A765" s="17"/>
      <c r="B765" s="17"/>
      <c r="C765" s="17"/>
    </row>
    <row r="766" spans="1:3" ht="13.5" customHeight="1" x14ac:dyDescent="0.35">
      <c r="A766" s="17"/>
      <c r="B766" s="17"/>
      <c r="C766" s="17"/>
    </row>
    <row r="767" spans="1:3" ht="13.5" customHeight="1" x14ac:dyDescent="0.35">
      <c r="A767" s="17"/>
      <c r="B767" s="17"/>
      <c r="C767" s="17"/>
    </row>
    <row r="768" spans="1:3" ht="13.5" customHeight="1" x14ac:dyDescent="0.35">
      <c r="A768" s="17"/>
      <c r="B768" s="17"/>
      <c r="C768" s="17"/>
    </row>
    <row r="769" spans="1:3" ht="13.5" customHeight="1" x14ac:dyDescent="0.35">
      <c r="A769" s="17"/>
      <c r="B769" s="17"/>
      <c r="C769" s="17"/>
    </row>
    <row r="770" spans="1:3" ht="13.5" customHeight="1" x14ac:dyDescent="0.35">
      <c r="A770" s="17"/>
      <c r="B770" s="17"/>
      <c r="C770" s="17"/>
    </row>
    <row r="771" spans="1:3" ht="13.5" customHeight="1" x14ac:dyDescent="0.35">
      <c r="A771" s="17"/>
      <c r="B771" s="17"/>
      <c r="C771" s="17"/>
    </row>
    <row r="772" spans="1:3" ht="13.5" customHeight="1" x14ac:dyDescent="0.35">
      <c r="A772" s="17"/>
      <c r="B772" s="17"/>
      <c r="C772" s="17"/>
    </row>
    <row r="773" spans="1:3" ht="13.5" customHeight="1" x14ac:dyDescent="0.35">
      <c r="A773" s="17"/>
      <c r="B773" s="17"/>
      <c r="C773" s="17"/>
    </row>
    <row r="774" spans="1:3" ht="13.5" customHeight="1" x14ac:dyDescent="0.35">
      <c r="A774" s="17"/>
      <c r="B774" s="17"/>
      <c r="C774" s="17"/>
    </row>
    <row r="775" spans="1:3" ht="13.5" customHeight="1" x14ac:dyDescent="0.35">
      <c r="A775" s="17"/>
      <c r="B775" s="17"/>
      <c r="C775" s="17"/>
    </row>
    <row r="776" spans="1:3" ht="13.5" customHeight="1" x14ac:dyDescent="0.35">
      <c r="A776" s="17"/>
      <c r="B776" s="17"/>
      <c r="C776" s="17"/>
    </row>
    <row r="777" spans="1:3" ht="13.5" customHeight="1" x14ac:dyDescent="0.35">
      <c r="A777" s="17"/>
      <c r="B777" s="17"/>
      <c r="C777" s="17"/>
    </row>
    <row r="778" spans="1:3" ht="13.5" customHeight="1" x14ac:dyDescent="0.35">
      <c r="A778" s="17"/>
      <c r="B778" s="17"/>
      <c r="C778" s="17"/>
    </row>
    <row r="779" spans="1:3" ht="13.5" customHeight="1" x14ac:dyDescent="0.35">
      <c r="A779" s="17"/>
      <c r="B779" s="17"/>
      <c r="C779" s="17"/>
    </row>
    <row r="780" spans="1:3" ht="13.5" customHeight="1" x14ac:dyDescent="0.35">
      <c r="A780" s="17"/>
      <c r="B780" s="17"/>
      <c r="C780" s="17"/>
    </row>
    <row r="781" spans="1:3" ht="13.5" customHeight="1" x14ac:dyDescent="0.35">
      <c r="A781" s="17"/>
      <c r="B781" s="17"/>
      <c r="C781" s="17"/>
    </row>
    <row r="782" spans="1:3" ht="13.5" customHeight="1" x14ac:dyDescent="0.35">
      <c r="A782" s="17"/>
      <c r="B782" s="17"/>
      <c r="C782" s="17"/>
    </row>
    <row r="783" spans="1:3" ht="13.5" customHeight="1" x14ac:dyDescent="0.35">
      <c r="A783" s="17"/>
      <c r="B783" s="17"/>
      <c r="C783" s="17"/>
    </row>
    <row r="784" spans="1:3" ht="13.5" customHeight="1" x14ac:dyDescent="0.35">
      <c r="A784" s="17"/>
      <c r="B784" s="17"/>
      <c r="C784" s="17"/>
    </row>
    <row r="785" spans="1:3" ht="13.5" customHeight="1" x14ac:dyDescent="0.35">
      <c r="A785" s="17"/>
      <c r="B785" s="17"/>
      <c r="C785" s="17"/>
    </row>
    <row r="786" spans="1:3" ht="13.5" customHeight="1" x14ac:dyDescent="0.35">
      <c r="A786" s="17"/>
      <c r="B786" s="17"/>
      <c r="C786" s="17"/>
    </row>
    <row r="787" spans="1:3" ht="13.5" customHeight="1" x14ac:dyDescent="0.35">
      <c r="A787" s="17"/>
      <c r="B787" s="17"/>
      <c r="C787" s="17"/>
    </row>
    <row r="788" spans="1:3" ht="13.5" customHeight="1" x14ac:dyDescent="0.35">
      <c r="A788" s="17"/>
      <c r="B788" s="17"/>
      <c r="C788" s="17"/>
    </row>
    <row r="789" spans="1:3" ht="13.5" customHeight="1" x14ac:dyDescent="0.35">
      <c r="A789" s="17"/>
      <c r="B789" s="17"/>
      <c r="C789" s="17"/>
    </row>
    <row r="790" spans="1:3" ht="13.5" customHeight="1" x14ac:dyDescent="0.35">
      <c r="A790" s="17"/>
      <c r="B790" s="17"/>
      <c r="C790" s="17"/>
    </row>
    <row r="791" spans="1:3" ht="13.5" customHeight="1" x14ac:dyDescent="0.35">
      <c r="A791" s="17"/>
      <c r="B791" s="17"/>
      <c r="C791" s="17"/>
    </row>
    <row r="792" spans="1:3" ht="13.5" customHeight="1" x14ac:dyDescent="0.35">
      <c r="A792" s="17"/>
      <c r="B792" s="17"/>
      <c r="C792" s="17"/>
    </row>
    <row r="793" spans="1:3" ht="13.5" customHeight="1" x14ac:dyDescent="0.35">
      <c r="A793" s="17"/>
      <c r="B793" s="17"/>
      <c r="C793" s="17"/>
    </row>
    <row r="794" spans="1:3" ht="13.5" customHeight="1" x14ac:dyDescent="0.35">
      <c r="A794" s="17"/>
      <c r="B794" s="17"/>
      <c r="C794" s="17"/>
    </row>
    <row r="795" spans="1:3" ht="13.5" customHeight="1" x14ac:dyDescent="0.35">
      <c r="A795" s="17"/>
      <c r="B795" s="17"/>
      <c r="C795" s="17"/>
    </row>
    <row r="796" spans="1:3" ht="13.5" customHeight="1" x14ac:dyDescent="0.35">
      <c r="A796" s="17"/>
      <c r="B796" s="17"/>
      <c r="C796" s="17"/>
    </row>
    <row r="797" spans="1:3" ht="13.5" customHeight="1" x14ac:dyDescent="0.35">
      <c r="A797" s="17"/>
      <c r="B797" s="17"/>
      <c r="C797" s="17"/>
    </row>
    <row r="798" spans="1:3" ht="13.5" customHeight="1" x14ac:dyDescent="0.35">
      <c r="A798" s="17"/>
      <c r="B798" s="17"/>
      <c r="C798" s="17"/>
    </row>
    <row r="799" spans="1:3" ht="13.5" customHeight="1" x14ac:dyDescent="0.35">
      <c r="A799" s="17"/>
      <c r="B799" s="17"/>
      <c r="C799" s="17"/>
    </row>
    <row r="800" spans="1:3" ht="13.5" customHeight="1" x14ac:dyDescent="0.35">
      <c r="A800" s="17"/>
      <c r="B800" s="17"/>
      <c r="C800" s="17"/>
    </row>
    <row r="801" spans="1:3" ht="13.5" customHeight="1" x14ac:dyDescent="0.35">
      <c r="A801" s="17"/>
      <c r="B801" s="17"/>
      <c r="C801" s="17"/>
    </row>
    <row r="802" spans="1:3" ht="13.5" customHeight="1" x14ac:dyDescent="0.35">
      <c r="A802" s="17"/>
      <c r="B802" s="17"/>
      <c r="C802" s="17"/>
    </row>
    <row r="803" spans="1:3" ht="13.5" customHeight="1" x14ac:dyDescent="0.35">
      <c r="A803" s="17"/>
      <c r="B803" s="17"/>
      <c r="C803" s="17"/>
    </row>
    <row r="804" spans="1:3" ht="13.5" customHeight="1" x14ac:dyDescent="0.35">
      <c r="A804" s="17"/>
      <c r="B804" s="17"/>
      <c r="C804" s="17"/>
    </row>
    <row r="805" spans="1:3" ht="13.5" customHeight="1" x14ac:dyDescent="0.35">
      <c r="A805" s="17"/>
      <c r="B805" s="17"/>
      <c r="C805" s="17"/>
    </row>
    <row r="806" spans="1:3" ht="13.5" customHeight="1" x14ac:dyDescent="0.35">
      <c r="A806" s="17"/>
      <c r="B806" s="17"/>
      <c r="C806" s="17"/>
    </row>
    <row r="807" spans="1:3" ht="13.5" customHeight="1" x14ac:dyDescent="0.35">
      <c r="A807" s="17"/>
      <c r="B807" s="17"/>
      <c r="C807" s="17"/>
    </row>
    <row r="808" spans="1:3" ht="13.5" customHeight="1" x14ac:dyDescent="0.35">
      <c r="A808" s="17"/>
      <c r="B808" s="17"/>
      <c r="C808" s="17"/>
    </row>
    <row r="809" spans="1:3" ht="13.5" customHeight="1" x14ac:dyDescent="0.35">
      <c r="A809" s="17"/>
      <c r="B809" s="17"/>
      <c r="C809" s="17"/>
    </row>
    <row r="810" spans="1:3" ht="13.5" customHeight="1" x14ac:dyDescent="0.35">
      <c r="A810" s="17"/>
      <c r="B810" s="17"/>
      <c r="C810" s="17"/>
    </row>
    <row r="811" spans="1:3" ht="13.5" customHeight="1" x14ac:dyDescent="0.35">
      <c r="A811" s="17"/>
      <c r="B811" s="17"/>
      <c r="C811" s="17"/>
    </row>
    <row r="812" spans="1:3" ht="13.5" customHeight="1" x14ac:dyDescent="0.35">
      <c r="A812" s="17"/>
      <c r="B812" s="17"/>
      <c r="C812" s="17"/>
    </row>
    <row r="813" spans="1:3" ht="13.5" customHeight="1" x14ac:dyDescent="0.35">
      <c r="A813" s="17"/>
      <c r="B813" s="17"/>
      <c r="C813" s="17"/>
    </row>
    <row r="814" spans="1:3" ht="13.5" customHeight="1" x14ac:dyDescent="0.35">
      <c r="A814" s="17"/>
      <c r="B814" s="17"/>
      <c r="C814" s="17"/>
    </row>
    <row r="815" spans="1:3" ht="13.5" customHeight="1" x14ac:dyDescent="0.35">
      <c r="A815" s="17"/>
      <c r="B815" s="17"/>
      <c r="C815" s="17"/>
    </row>
    <row r="816" spans="1:3" ht="13.5" customHeight="1" x14ac:dyDescent="0.35">
      <c r="A816" s="17"/>
      <c r="B816" s="17"/>
      <c r="C816" s="17"/>
    </row>
    <row r="817" spans="1:3" ht="13.5" customHeight="1" x14ac:dyDescent="0.35">
      <c r="A817" s="17"/>
      <c r="B817" s="17"/>
      <c r="C817" s="17"/>
    </row>
    <row r="818" spans="1:3" ht="13.5" customHeight="1" x14ac:dyDescent="0.35">
      <c r="A818" s="17"/>
      <c r="B818" s="17"/>
      <c r="C818" s="17"/>
    </row>
    <row r="819" spans="1:3" ht="13.5" customHeight="1" x14ac:dyDescent="0.35">
      <c r="A819" s="17"/>
      <c r="B819" s="17"/>
      <c r="C819" s="17"/>
    </row>
    <row r="820" spans="1:3" ht="13.5" customHeight="1" x14ac:dyDescent="0.35">
      <c r="A820" s="17"/>
      <c r="B820" s="17"/>
      <c r="C820" s="17"/>
    </row>
    <row r="821" spans="1:3" ht="13.5" customHeight="1" x14ac:dyDescent="0.35">
      <c r="A821" s="17"/>
      <c r="B821" s="17"/>
      <c r="C821" s="17"/>
    </row>
    <row r="822" spans="1:3" ht="13.5" customHeight="1" x14ac:dyDescent="0.35">
      <c r="A822" s="17"/>
      <c r="B822" s="17"/>
      <c r="C822" s="17"/>
    </row>
    <row r="823" spans="1:3" ht="13.5" customHeight="1" x14ac:dyDescent="0.35">
      <c r="A823" s="17"/>
      <c r="B823" s="17"/>
      <c r="C823" s="17"/>
    </row>
    <row r="824" spans="1:3" ht="13.5" customHeight="1" x14ac:dyDescent="0.35">
      <c r="A824" s="17"/>
      <c r="B824" s="17"/>
      <c r="C824" s="17"/>
    </row>
    <row r="825" spans="1:3" ht="13.5" customHeight="1" x14ac:dyDescent="0.35">
      <c r="A825" s="17"/>
      <c r="B825" s="17"/>
      <c r="C825" s="17"/>
    </row>
    <row r="826" spans="1:3" ht="13.5" customHeight="1" x14ac:dyDescent="0.35">
      <c r="A826" s="17"/>
      <c r="B826" s="17"/>
      <c r="C826" s="17"/>
    </row>
    <row r="827" spans="1:3" ht="13.5" customHeight="1" x14ac:dyDescent="0.35">
      <c r="A827" s="17"/>
      <c r="B827" s="17"/>
      <c r="C827" s="17"/>
    </row>
    <row r="828" spans="1:3" ht="13.5" customHeight="1" x14ac:dyDescent="0.35">
      <c r="A828" s="17"/>
      <c r="B828" s="17"/>
      <c r="C828" s="17"/>
    </row>
    <row r="829" spans="1:3" ht="13.5" customHeight="1" x14ac:dyDescent="0.35">
      <c r="A829" s="17"/>
      <c r="B829" s="17"/>
      <c r="C829" s="17"/>
    </row>
    <row r="830" spans="1:3" ht="13.5" customHeight="1" x14ac:dyDescent="0.35">
      <c r="A830" s="17"/>
      <c r="B830" s="17"/>
      <c r="C830" s="17"/>
    </row>
    <row r="831" spans="1:3" ht="13.5" customHeight="1" x14ac:dyDescent="0.35">
      <c r="A831" s="17"/>
      <c r="B831" s="17"/>
      <c r="C831" s="17"/>
    </row>
    <row r="832" spans="1:3" ht="13.5" customHeight="1" x14ac:dyDescent="0.35">
      <c r="A832" s="17"/>
      <c r="B832" s="17"/>
      <c r="C832" s="17"/>
    </row>
    <row r="833" spans="1:3" ht="13.5" customHeight="1" x14ac:dyDescent="0.35">
      <c r="A833" s="17"/>
      <c r="B833" s="17"/>
      <c r="C833" s="17"/>
    </row>
    <row r="834" spans="1:3" ht="13.5" customHeight="1" x14ac:dyDescent="0.35">
      <c r="A834" s="17"/>
      <c r="B834" s="17"/>
      <c r="C834" s="17"/>
    </row>
    <row r="835" spans="1:3" ht="13.5" customHeight="1" x14ac:dyDescent="0.35">
      <c r="A835" s="17"/>
      <c r="B835" s="17"/>
      <c r="C835" s="17"/>
    </row>
    <row r="836" spans="1:3" ht="13.5" customHeight="1" x14ac:dyDescent="0.35">
      <c r="A836" s="17"/>
      <c r="B836" s="17"/>
      <c r="C836" s="17"/>
    </row>
    <row r="837" spans="1:3" ht="13.5" customHeight="1" x14ac:dyDescent="0.35">
      <c r="A837" s="17"/>
      <c r="B837" s="17"/>
      <c r="C837" s="17"/>
    </row>
    <row r="838" spans="1:3" ht="13.5" customHeight="1" x14ac:dyDescent="0.35">
      <c r="A838" s="17"/>
      <c r="B838" s="17"/>
      <c r="C838" s="17"/>
    </row>
    <row r="839" spans="1:3" ht="13.5" customHeight="1" x14ac:dyDescent="0.35">
      <c r="A839" s="17"/>
      <c r="B839" s="17"/>
      <c r="C839" s="17"/>
    </row>
    <row r="840" spans="1:3" ht="13.5" customHeight="1" x14ac:dyDescent="0.35">
      <c r="A840" s="17"/>
      <c r="B840" s="17"/>
      <c r="C840" s="17"/>
    </row>
    <row r="841" spans="1:3" ht="13.5" customHeight="1" x14ac:dyDescent="0.35">
      <c r="A841" s="17"/>
      <c r="B841" s="17"/>
      <c r="C841" s="17"/>
    </row>
    <row r="842" spans="1:3" ht="13.5" customHeight="1" x14ac:dyDescent="0.35">
      <c r="A842" s="17"/>
      <c r="B842" s="17"/>
      <c r="C842" s="17"/>
    </row>
    <row r="843" spans="1:3" ht="13.5" customHeight="1" x14ac:dyDescent="0.35">
      <c r="A843" s="17"/>
      <c r="B843" s="17"/>
      <c r="C843" s="17"/>
    </row>
    <row r="844" spans="1:3" ht="13.5" customHeight="1" x14ac:dyDescent="0.35">
      <c r="A844" s="17"/>
      <c r="B844" s="17"/>
      <c r="C844" s="17"/>
    </row>
    <row r="845" spans="1:3" ht="13.5" customHeight="1" x14ac:dyDescent="0.35">
      <c r="A845" s="17"/>
      <c r="B845" s="17"/>
      <c r="C845" s="17"/>
    </row>
    <row r="846" spans="1:3" ht="13.5" customHeight="1" x14ac:dyDescent="0.35">
      <c r="A846" s="17"/>
      <c r="B846" s="17"/>
      <c r="C846" s="17"/>
    </row>
    <row r="847" spans="1:3" ht="13.5" customHeight="1" x14ac:dyDescent="0.35">
      <c r="A847" s="17"/>
      <c r="B847" s="17"/>
      <c r="C847" s="17"/>
    </row>
    <row r="848" spans="1:3" ht="13.5" customHeight="1" x14ac:dyDescent="0.35">
      <c r="A848" s="17"/>
      <c r="B848" s="17"/>
      <c r="C848" s="17"/>
    </row>
    <row r="849" spans="1:3" ht="13.5" customHeight="1" x14ac:dyDescent="0.35">
      <c r="A849" s="17"/>
      <c r="B849" s="17"/>
      <c r="C849" s="17"/>
    </row>
    <row r="850" spans="1:3" ht="13.5" customHeight="1" x14ac:dyDescent="0.35">
      <c r="A850" s="17"/>
      <c r="B850" s="17"/>
      <c r="C850" s="17"/>
    </row>
    <row r="851" spans="1:3" ht="13.5" customHeight="1" x14ac:dyDescent="0.35">
      <c r="A851" s="17"/>
      <c r="B851" s="17"/>
      <c r="C851" s="17"/>
    </row>
    <row r="852" spans="1:3" ht="13.5" customHeight="1" x14ac:dyDescent="0.35">
      <c r="A852" s="17"/>
      <c r="B852" s="17"/>
      <c r="C852" s="17"/>
    </row>
    <row r="853" spans="1:3" ht="13.5" customHeight="1" x14ac:dyDescent="0.35">
      <c r="A853" s="17"/>
      <c r="B853" s="17"/>
      <c r="C853" s="17"/>
    </row>
    <row r="854" spans="1:3" ht="13.5" customHeight="1" x14ac:dyDescent="0.35">
      <c r="A854" s="17"/>
      <c r="B854" s="17"/>
      <c r="C854" s="17"/>
    </row>
    <row r="855" spans="1:3" ht="13.5" customHeight="1" x14ac:dyDescent="0.35">
      <c r="A855" s="17"/>
      <c r="B855" s="17"/>
      <c r="C855" s="17"/>
    </row>
    <row r="856" spans="1:3" ht="13.5" customHeight="1" x14ac:dyDescent="0.35">
      <c r="A856" s="17"/>
      <c r="B856" s="17"/>
      <c r="C856" s="17"/>
    </row>
    <row r="857" spans="1:3" ht="13.5" customHeight="1" x14ac:dyDescent="0.35">
      <c r="A857" s="17"/>
      <c r="B857" s="17"/>
      <c r="C857" s="17"/>
    </row>
    <row r="858" spans="1:3" ht="13.5" customHeight="1" x14ac:dyDescent="0.35">
      <c r="A858" s="17"/>
      <c r="B858" s="17"/>
      <c r="C858" s="17"/>
    </row>
    <row r="859" spans="1:3" ht="13.5" customHeight="1" x14ac:dyDescent="0.35">
      <c r="A859" s="17"/>
      <c r="B859" s="17"/>
      <c r="C859" s="17"/>
    </row>
    <row r="860" spans="1:3" ht="13.5" customHeight="1" x14ac:dyDescent="0.35">
      <c r="A860" s="17"/>
      <c r="B860" s="17"/>
      <c r="C860" s="17"/>
    </row>
    <row r="861" spans="1:3" ht="13.5" customHeight="1" x14ac:dyDescent="0.35">
      <c r="A861" s="17"/>
      <c r="B861" s="17"/>
      <c r="C861" s="17"/>
    </row>
    <row r="862" spans="1:3" ht="13.5" customHeight="1" x14ac:dyDescent="0.35">
      <c r="A862" s="17"/>
      <c r="B862" s="17"/>
      <c r="C862" s="17"/>
    </row>
    <row r="863" spans="1:3" ht="13.5" customHeight="1" x14ac:dyDescent="0.35">
      <c r="A863" s="17"/>
      <c r="B863" s="17"/>
      <c r="C863" s="17"/>
    </row>
    <row r="864" spans="1:3" ht="13.5" customHeight="1" x14ac:dyDescent="0.35">
      <c r="A864" s="17"/>
      <c r="B864" s="17"/>
      <c r="C864" s="17"/>
    </row>
    <row r="865" spans="1:3" ht="13.5" customHeight="1" x14ac:dyDescent="0.35">
      <c r="A865" s="17"/>
      <c r="B865" s="17"/>
      <c r="C865" s="17"/>
    </row>
    <row r="866" spans="1:3" ht="13.5" customHeight="1" x14ac:dyDescent="0.35">
      <c r="A866" s="17"/>
      <c r="B866" s="17"/>
      <c r="C866" s="17"/>
    </row>
    <row r="867" spans="1:3" ht="13.5" customHeight="1" x14ac:dyDescent="0.35">
      <c r="A867" s="17"/>
      <c r="B867" s="17"/>
      <c r="C867" s="17"/>
    </row>
    <row r="868" spans="1:3" ht="13.5" customHeight="1" x14ac:dyDescent="0.35">
      <c r="A868" s="17"/>
      <c r="B868" s="17"/>
      <c r="C868" s="17"/>
    </row>
    <row r="869" spans="1:3" ht="13.5" customHeight="1" x14ac:dyDescent="0.35">
      <c r="A869" s="17"/>
      <c r="B869" s="17"/>
      <c r="C869" s="17"/>
    </row>
    <row r="870" spans="1:3" ht="13.5" customHeight="1" x14ac:dyDescent="0.35">
      <c r="A870" s="17"/>
      <c r="B870" s="17"/>
      <c r="C870" s="17"/>
    </row>
    <row r="871" spans="1:3" ht="13.5" customHeight="1" x14ac:dyDescent="0.35">
      <c r="A871" s="17"/>
      <c r="B871" s="17"/>
      <c r="C871" s="17"/>
    </row>
    <row r="872" spans="1:3" ht="13.5" customHeight="1" x14ac:dyDescent="0.35">
      <c r="A872" s="17"/>
      <c r="B872" s="17"/>
      <c r="C872" s="17"/>
    </row>
    <row r="873" spans="1:3" ht="13.5" customHeight="1" x14ac:dyDescent="0.35">
      <c r="A873" s="17"/>
      <c r="B873" s="17"/>
      <c r="C873" s="17"/>
    </row>
    <row r="874" spans="1:3" ht="13.5" customHeight="1" x14ac:dyDescent="0.35">
      <c r="A874" s="17"/>
      <c r="B874" s="17"/>
      <c r="C874" s="17"/>
    </row>
    <row r="875" spans="1:3" ht="13.5" customHeight="1" x14ac:dyDescent="0.35">
      <c r="A875" s="17"/>
      <c r="B875" s="17"/>
      <c r="C875" s="17"/>
    </row>
    <row r="876" spans="1:3" ht="13.5" customHeight="1" x14ac:dyDescent="0.35">
      <c r="A876" s="17"/>
      <c r="B876" s="17"/>
      <c r="C876" s="17"/>
    </row>
    <row r="877" spans="1:3" ht="13.5" customHeight="1" x14ac:dyDescent="0.35">
      <c r="A877" s="17"/>
      <c r="B877" s="17"/>
      <c r="C877" s="17"/>
    </row>
    <row r="878" spans="1:3" ht="13.5" customHeight="1" x14ac:dyDescent="0.35">
      <c r="A878" s="17"/>
      <c r="B878" s="17"/>
      <c r="C878" s="17"/>
    </row>
    <row r="879" spans="1:3" ht="13.5" customHeight="1" x14ac:dyDescent="0.35">
      <c r="A879" s="17"/>
      <c r="B879" s="17"/>
      <c r="C879" s="17"/>
    </row>
    <row r="880" spans="1:3" ht="13.5" customHeight="1" x14ac:dyDescent="0.35">
      <c r="A880" s="17"/>
      <c r="B880" s="17"/>
      <c r="C880" s="17"/>
    </row>
    <row r="881" spans="1:3" ht="13.5" customHeight="1" x14ac:dyDescent="0.35">
      <c r="A881" s="17"/>
      <c r="B881" s="17"/>
      <c r="C881" s="17"/>
    </row>
    <row r="882" spans="1:3" ht="13.5" customHeight="1" x14ac:dyDescent="0.35">
      <c r="A882" s="17"/>
      <c r="B882" s="17"/>
      <c r="C882" s="17"/>
    </row>
    <row r="883" spans="1:3" ht="13.5" customHeight="1" x14ac:dyDescent="0.35">
      <c r="A883" s="17"/>
      <c r="B883" s="17"/>
      <c r="C883" s="17"/>
    </row>
    <row r="884" spans="1:3" ht="13.5" customHeight="1" x14ac:dyDescent="0.35">
      <c r="A884" s="17"/>
      <c r="B884" s="17"/>
      <c r="C884" s="17"/>
    </row>
    <row r="885" spans="1:3" ht="13.5" customHeight="1" x14ac:dyDescent="0.35">
      <c r="A885" s="17"/>
      <c r="B885" s="17"/>
      <c r="C885" s="17"/>
    </row>
    <row r="886" spans="1:3" ht="13.5" customHeight="1" x14ac:dyDescent="0.35">
      <c r="A886" s="17"/>
      <c r="B886" s="17"/>
      <c r="C886" s="17"/>
    </row>
    <row r="887" spans="1:3" ht="13.5" customHeight="1" x14ac:dyDescent="0.35">
      <c r="A887" s="17"/>
      <c r="B887" s="17"/>
      <c r="C887" s="17"/>
    </row>
    <row r="888" spans="1:3" ht="13.5" customHeight="1" x14ac:dyDescent="0.35">
      <c r="A888" s="17"/>
      <c r="B888" s="17"/>
      <c r="C888" s="17"/>
    </row>
    <row r="889" spans="1:3" ht="13.5" customHeight="1" x14ac:dyDescent="0.35">
      <c r="A889" s="17"/>
      <c r="B889" s="17"/>
      <c r="C889" s="17"/>
    </row>
    <row r="890" spans="1:3" ht="13.5" customHeight="1" x14ac:dyDescent="0.35">
      <c r="A890" s="17"/>
      <c r="B890" s="17"/>
      <c r="C890" s="17"/>
    </row>
    <row r="891" spans="1:3" ht="13.5" customHeight="1" x14ac:dyDescent="0.35">
      <c r="A891" s="17"/>
      <c r="B891" s="17"/>
      <c r="C891" s="17"/>
    </row>
    <row r="892" spans="1:3" ht="13.5" customHeight="1" x14ac:dyDescent="0.35">
      <c r="A892" s="17"/>
      <c r="B892" s="17"/>
      <c r="C892" s="17"/>
    </row>
    <row r="893" spans="1:3" ht="13.5" customHeight="1" x14ac:dyDescent="0.35">
      <c r="A893" s="17"/>
      <c r="B893" s="17"/>
      <c r="C893" s="17"/>
    </row>
    <row r="894" spans="1:3" ht="13.5" customHeight="1" x14ac:dyDescent="0.35">
      <c r="A894" s="17"/>
      <c r="B894" s="17"/>
      <c r="C894" s="17"/>
    </row>
    <row r="895" spans="1:3" ht="13.5" customHeight="1" x14ac:dyDescent="0.35">
      <c r="A895" s="17"/>
      <c r="B895" s="17"/>
      <c r="C895" s="17"/>
    </row>
    <row r="896" spans="1:3" ht="13.5" customHeight="1" x14ac:dyDescent="0.35">
      <c r="A896" s="17"/>
      <c r="B896" s="17"/>
      <c r="C896" s="17"/>
    </row>
    <row r="897" spans="1:3" ht="13.5" customHeight="1" x14ac:dyDescent="0.35">
      <c r="A897" s="17"/>
      <c r="B897" s="17"/>
      <c r="C897" s="17"/>
    </row>
    <row r="898" spans="1:3" ht="13.5" customHeight="1" x14ac:dyDescent="0.35">
      <c r="A898" s="17"/>
      <c r="B898" s="17"/>
      <c r="C898" s="17"/>
    </row>
    <row r="899" spans="1:3" ht="13.5" customHeight="1" x14ac:dyDescent="0.35">
      <c r="A899" s="17"/>
      <c r="B899" s="17"/>
      <c r="C899" s="17"/>
    </row>
    <row r="900" spans="1:3" ht="13.5" customHeight="1" x14ac:dyDescent="0.35">
      <c r="A900" s="17"/>
      <c r="B900" s="17"/>
      <c r="C900" s="17"/>
    </row>
    <row r="901" spans="1:3" ht="13.5" customHeight="1" x14ac:dyDescent="0.35">
      <c r="A901" s="17"/>
      <c r="B901" s="17"/>
      <c r="C901" s="17"/>
    </row>
    <row r="902" spans="1:3" ht="13.5" customHeight="1" x14ac:dyDescent="0.35">
      <c r="A902" s="17"/>
      <c r="B902" s="17"/>
      <c r="C902" s="17"/>
    </row>
    <row r="903" spans="1:3" ht="13.5" customHeight="1" x14ac:dyDescent="0.35">
      <c r="A903" s="17"/>
      <c r="B903" s="17"/>
      <c r="C903" s="17"/>
    </row>
    <row r="904" spans="1:3" ht="13.5" customHeight="1" x14ac:dyDescent="0.35">
      <c r="A904" s="17"/>
      <c r="B904" s="17"/>
      <c r="C904" s="17"/>
    </row>
    <row r="905" spans="1:3" ht="13.5" customHeight="1" x14ac:dyDescent="0.35">
      <c r="A905" s="17"/>
      <c r="B905" s="17"/>
      <c r="C905" s="17"/>
    </row>
    <row r="906" spans="1:3" ht="13.5" customHeight="1" x14ac:dyDescent="0.35">
      <c r="A906" s="17"/>
      <c r="B906" s="17"/>
      <c r="C906" s="17"/>
    </row>
    <row r="907" spans="1:3" ht="13.5" customHeight="1" x14ac:dyDescent="0.35">
      <c r="A907" s="17"/>
      <c r="B907" s="17"/>
      <c r="C907" s="17"/>
    </row>
    <row r="908" spans="1:3" ht="13.5" customHeight="1" x14ac:dyDescent="0.35">
      <c r="A908" s="17"/>
      <c r="B908" s="17"/>
      <c r="C908" s="17"/>
    </row>
    <row r="909" spans="1:3" ht="13.5" customHeight="1" x14ac:dyDescent="0.35">
      <c r="A909" s="17"/>
      <c r="B909" s="17"/>
      <c r="C909" s="17"/>
    </row>
    <row r="910" spans="1:3" ht="13.5" customHeight="1" x14ac:dyDescent="0.35">
      <c r="A910" s="17"/>
      <c r="B910" s="17"/>
      <c r="C910" s="17"/>
    </row>
    <row r="911" spans="1:3" ht="13.5" customHeight="1" x14ac:dyDescent="0.35">
      <c r="A911" s="17"/>
      <c r="B911" s="17"/>
      <c r="C911" s="17"/>
    </row>
    <row r="912" spans="1:3" ht="13.5" customHeight="1" x14ac:dyDescent="0.35">
      <c r="A912" s="17"/>
      <c r="B912" s="17"/>
      <c r="C912" s="17"/>
    </row>
    <row r="913" spans="1:3" ht="13.5" customHeight="1" x14ac:dyDescent="0.35">
      <c r="A913" s="17"/>
      <c r="B913" s="17"/>
      <c r="C913" s="17"/>
    </row>
    <row r="914" spans="1:3" ht="13.5" customHeight="1" x14ac:dyDescent="0.35">
      <c r="A914" s="17"/>
      <c r="B914" s="17"/>
      <c r="C914" s="17"/>
    </row>
    <row r="915" spans="1:3" ht="13.5" customHeight="1" x14ac:dyDescent="0.35">
      <c r="A915" s="17"/>
      <c r="B915" s="17"/>
      <c r="C915" s="17"/>
    </row>
    <row r="916" spans="1:3" ht="13.5" customHeight="1" x14ac:dyDescent="0.35">
      <c r="A916" s="17"/>
      <c r="B916" s="17"/>
      <c r="C916" s="17"/>
    </row>
    <row r="917" spans="1:3" ht="13.5" customHeight="1" x14ac:dyDescent="0.35">
      <c r="A917" s="17"/>
      <c r="B917" s="17"/>
      <c r="C917" s="17"/>
    </row>
    <row r="918" spans="1:3" ht="13.5" customHeight="1" x14ac:dyDescent="0.35">
      <c r="A918" s="17"/>
      <c r="B918" s="17"/>
      <c r="C918" s="17"/>
    </row>
    <row r="919" spans="1:3" ht="13.5" customHeight="1" x14ac:dyDescent="0.35">
      <c r="A919" s="17"/>
      <c r="B919" s="17"/>
      <c r="C919" s="17"/>
    </row>
    <row r="920" spans="1:3" ht="13.5" customHeight="1" x14ac:dyDescent="0.35">
      <c r="A920" s="17"/>
      <c r="B920" s="17"/>
      <c r="C920" s="17"/>
    </row>
    <row r="921" spans="1:3" ht="13.5" customHeight="1" x14ac:dyDescent="0.35">
      <c r="A921" s="17"/>
      <c r="B921" s="17"/>
      <c r="C921" s="17"/>
    </row>
    <row r="922" spans="1:3" ht="13.5" customHeight="1" x14ac:dyDescent="0.35">
      <c r="A922" s="17"/>
      <c r="B922" s="17"/>
      <c r="C922" s="17"/>
    </row>
    <row r="923" spans="1:3" ht="13.5" customHeight="1" x14ac:dyDescent="0.35">
      <c r="A923" s="17"/>
      <c r="B923" s="17"/>
      <c r="C923" s="17"/>
    </row>
    <row r="924" spans="1:3" ht="13.5" customHeight="1" x14ac:dyDescent="0.35">
      <c r="A924" s="17"/>
      <c r="B924" s="17"/>
      <c r="C924" s="17"/>
    </row>
    <row r="925" spans="1:3" ht="13.5" customHeight="1" x14ac:dyDescent="0.35">
      <c r="A925" s="17"/>
      <c r="B925" s="17"/>
      <c r="C925" s="17"/>
    </row>
    <row r="926" spans="1:3" ht="13.5" customHeight="1" x14ac:dyDescent="0.35">
      <c r="A926" s="17"/>
      <c r="B926" s="17"/>
      <c r="C926" s="17"/>
    </row>
    <row r="927" spans="1:3" ht="13.5" customHeight="1" x14ac:dyDescent="0.35">
      <c r="A927" s="17"/>
      <c r="B927" s="17"/>
      <c r="C927" s="17"/>
    </row>
    <row r="928" spans="1:3" ht="13.5" customHeight="1" x14ac:dyDescent="0.35">
      <c r="A928" s="17"/>
      <c r="B928" s="17"/>
      <c r="C928" s="17"/>
    </row>
    <row r="929" spans="1:3" ht="13.5" customHeight="1" x14ac:dyDescent="0.35">
      <c r="A929" s="17"/>
      <c r="B929" s="17"/>
      <c r="C929" s="17"/>
    </row>
    <row r="930" spans="1:3" ht="13.5" customHeight="1" x14ac:dyDescent="0.35">
      <c r="A930" s="17"/>
      <c r="B930" s="17"/>
      <c r="C930" s="17"/>
    </row>
    <row r="931" spans="1:3" ht="13.5" customHeight="1" x14ac:dyDescent="0.35">
      <c r="A931" s="17"/>
      <c r="B931" s="17"/>
      <c r="C931" s="17"/>
    </row>
    <row r="932" spans="1:3" ht="13.5" customHeight="1" x14ac:dyDescent="0.35">
      <c r="A932" s="17"/>
      <c r="B932" s="17"/>
      <c r="C932" s="17"/>
    </row>
    <row r="933" spans="1:3" ht="13.5" customHeight="1" x14ac:dyDescent="0.35">
      <c r="A933" s="17"/>
      <c r="B933" s="17"/>
      <c r="C933" s="17"/>
    </row>
    <row r="934" spans="1:3" ht="13.5" customHeight="1" x14ac:dyDescent="0.35">
      <c r="A934" s="17"/>
      <c r="B934" s="17"/>
      <c r="C934" s="17"/>
    </row>
    <row r="935" spans="1:3" ht="13.5" customHeight="1" x14ac:dyDescent="0.35">
      <c r="A935" s="17"/>
      <c r="B935" s="17"/>
      <c r="C935" s="17"/>
    </row>
    <row r="936" spans="1:3" ht="13.5" customHeight="1" x14ac:dyDescent="0.35">
      <c r="A936" s="17"/>
      <c r="B936" s="17"/>
      <c r="C936" s="17"/>
    </row>
    <row r="937" spans="1:3" ht="13.5" customHeight="1" x14ac:dyDescent="0.35">
      <c r="A937" s="17"/>
      <c r="B937" s="17"/>
      <c r="C937" s="17"/>
    </row>
    <row r="938" spans="1:3" ht="13.5" customHeight="1" x14ac:dyDescent="0.35">
      <c r="A938" s="17"/>
      <c r="B938" s="17"/>
      <c r="C938" s="17"/>
    </row>
    <row r="939" spans="1:3" ht="13.5" customHeight="1" x14ac:dyDescent="0.35">
      <c r="A939" s="17"/>
      <c r="B939" s="17"/>
      <c r="C939" s="17"/>
    </row>
    <row r="940" spans="1:3" ht="13.5" customHeight="1" x14ac:dyDescent="0.35">
      <c r="A940" s="17"/>
      <c r="B940" s="17"/>
      <c r="C940" s="17"/>
    </row>
    <row r="941" spans="1:3" ht="13.5" customHeight="1" x14ac:dyDescent="0.35">
      <c r="A941" s="17"/>
      <c r="B941" s="17"/>
      <c r="C941" s="17"/>
    </row>
    <row r="942" spans="1:3" ht="13.5" customHeight="1" x14ac:dyDescent="0.35">
      <c r="A942" s="17"/>
      <c r="B942" s="17"/>
      <c r="C942" s="17"/>
    </row>
    <row r="943" spans="1:3" ht="13.5" customHeight="1" x14ac:dyDescent="0.35">
      <c r="A943" s="17"/>
      <c r="B943" s="17"/>
      <c r="C943" s="17"/>
    </row>
    <row r="944" spans="1:3" ht="13.5" customHeight="1" x14ac:dyDescent="0.35">
      <c r="A944" s="17"/>
      <c r="B944" s="17"/>
      <c r="C944" s="17"/>
    </row>
    <row r="945" spans="1:3" ht="13.5" customHeight="1" x14ac:dyDescent="0.35">
      <c r="A945" s="17"/>
      <c r="B945" s="17"/>
      <c r="C945" s="17"/>
    </row>
    <row r="946" spans="1:3" ht="13.5" customHeight="1" x14ac:dyDescent="0.35">
      <c r="A946" s="17"/>
      <c r="B946" s="17"/>
      <c r="C946" s="17"/>
    </row>
    <row r="947" spans="1:3" ht="13.5" customHeight="1" x14ac:dyDescent="0.35">
      <c r="A947" s="17"/>
      <c r="B947" s="17"/>
      <c r="C947" s="17"/>
    </row>
    <row r="948" spans="1:3" ht="13.5" customHeight="1" x14ac:dyDescent="0.35">
      <c r="A948" s="17"/>
      <c r="B948" s="17"/>
      <c r="C948" s="17"/>
    </row>
    <row r="949" spans="1:3" ht="13.5" customHeight="1" x14ac:dyDescent="0.35">
      <c r="A949" s="17"/>
      <c r="B949" s="17"/>
      <c r="C949" s="17"/>
    </row>
    <row r="950" spans="1:3" ht="13.5" customHeight="1" x14ac:dyDescent="0.35">
      <c r="A950" s="17"/>
      <c r="B950" s="17"/>
      <c r="C950" s="17"/>
    </row>
    <row r="951" spans="1:3" ht="13.5" customHeight="1" x14ac:dyDescent="0.35">
      <c r="A951" s="17"/>
      <c r="B951" s="17"/>
      <c r="C951" s="17"/>
    </row>
    <row r="952" spans="1:3" ht="13.5" customHeight="1" x14ac:dyDescent="0.35">
      <c r="A952" s="17"/>
      <c r="B952" s="17"/>
      <c r="C952" s="17"/>
    </row>
    <row r="953" spans="1:3" ht="13.5" customHeight="1" x14ac:dyDescent="0.35">
      <c r="A953" s="17"/>
      <c r="B953" s="17"/>
      <c r="C953" s="17"/>
    </row>
    <row r="954" spans="1:3" ht="13.5" customHeight="1" x14ac:dyDescent="0.35">
      <c r="A954" s="17"/>
      <c r="B954" s="17"/>
      <c r="C954" s="17"/>
    </row>
    <row r="955" spans="1:3" ht="13.5" customHeight="1" x14ac:dyDescent="0.35">
      <c r="A955" s="17"/>
      <c r="B955" s="17"/>
      <c r="C955" s="17"/>
    </row>
    <row r="956" spans="1:3" ht="13.5" customHeight="1" x14ac:dyDescent="0.35">
      <c r="A956" s="17"/>
      <c r="B956" s="17"/>
      <c r="C956" s="17"/>
    </row>
    <row r="957" spans="1:3" ht="13.5" customHeight="1" x14ac:dyDescent="0.35">
      <c r="A957" s="17"/>
      <c r="B957" s="17"/>
      <c r="C957" s="17"/>
    </row>
    <row r="958" spans="1:3" ht="13.5" customHeight="1" x14ac:dyDescent="0.35">
      <c r="A958" s="17"/>
      <c r="B958" s="17"/>
      <c r="C958" s="17"/>
    </row>
    <row r="959" spans="1:3" ht="13.5" customHeight="1" x14ac:dyDescent="0.35">
      <c r="A959" s="17"/>
      <c r="B959" s="17"/>
      <c r="C959" s="17"/>
    </row>
    <row r="960" spans="1:3" ht="13.5" customHeight="1" x14ac:dyDescent="0.35">
      <c r="A960" s="17"/>
      <c r="B960" s="17"/>
      <c r="C960" s="17"/>
    </row>
    <row r="961" spans="1:3" ht="13.5" customHeight="1" x14ac:dyDescent="0.35">
      <c r="A961" s="17"/>
      <c r="B961" s="17"/>
      <c r="C961" s="17"/>
    </row>
    <row r="962" spans="1:3" ht="13.5" customHeight="1" x14ac:dyDescent="0.35">
      <c r="A962" s="17"/>
      <c r="B962" s="17"/>
      <c r="C962" s="17"/>
    </row>
    <row r="963" spans="1:3" ht="13.5" customHeight="1" x14ac:dyDescent="0.35">
      <c r="A963" s="17"/>
      <c r="B963" s="17"/>
      <c r="C963" s="17"/>
    </row>
    <row r="964" spans="1:3" ht="13.5" customHeight="1" x14ac:dyDescent="0.35">
      <c r="A964" s="17"/>
      <c r="B964" s="17"/>
      <c r="C964" s="17"/>
    </row>
    <row r="965" spans="1:3" ht="13.5" customHeight="1" x14ac:dyDescent="0.35">
      <c r="A965" s="17"/>
      <c r="B965" s="17"/>
      <c r="C965" s="17"/>
    </row>
    <row r="966" spans="1:3" ht="13.5" customHeight="1" x14ac:dyDescent="0.35">
      <c r="A966" s="17"/>
      <c r="B966" s="17"/>
      <c r="C966" s="17"/>
    </row>
    <row r="967" spans="1:3" ht="13.5" customHeight="1" x14ac:dyDescent="0.35">
      <c r="A967" s="17"/>
      <c r="B967" s="17"/>
      <c r="C967" s="17"/>
    </row>
    <row r="968" spans="1:3" ht="13.5" customHeight="1" x14ac:dyDescent="0.35">
      <c r="A968" s="17"/>
      <c r="B968" s="17"/>
      <c r="C968" s="17"/>
    </row>
    <row r="969" spans="1:3" ht="13.5" customHeight="1" x14ac:dyDescent="0.35">
      <c r="A969" s="17"/>
      <c r="B969" s="17"/>
      <c r="C969" s="17"/>
    </row>
    <row r="970" spans="1:3" ht="13.5" customHeight="1" x14ac:dyDescent="0.35">
      <c r="A970" s="17"/>
      <c r="B970" s="17"/>
      <c r="C970" s="17"/>
    </row>
    <row r="971" spans="1:3" ht="13.5" customHeight="1" x14ac:dyDescent="0.35">
      <c r="A971" s="17"/>
      <c r="B971" s="17"/>
      <c r="C971" s="17"/>
    </row>
    <row r="972" spans="1:3" ht="13.5" customHeight="1" x14ac:dyDescent="0.35">
      <c r="A972" s="17"/>
      <c r="B972" s="17"/>
      <c r="C972" s="17"/>
    </row>
    <row r="973" spans="1:3" ht="13.5" customHeight="1" x14ac:dyDescent="0.35">
      <c r="A973" s="17"/>
      <c r="B973" s="17"/>
      <c r="C973" s="17"/>
    </row>
    <row r="974" spans="1:3" ht="13.5" customHeight="1" x14ac:dyDescent="0.35">
      <c r="A974" s="17"/>
      <c r="B974" s="17"/>
      <c r="C974" s="17"/>
    </row>
    <row r="975" spans="1:3" ht="13.5" customHeight="1" x14ac:dyDescent="0.35">
      <c r="A975" s="17"/>
      <c r="B975" s="17"/>
      <c r="C975" s="17"/>
    </row>
    <row r="976" spans="1:3" ht="13.5" customHeight="1" x14ac:dyDescent="0.35">
      <c r="A976" s="17"/>
      <c r="B976" s="17"/>
      <c r="C976" s="17"/>
    </row>
    <row r="977" spans="1:3" ht="13.5" customHeight="1" x14ac:dyDescent="0.35">
      <c r="A977" s="17"/>
      <c r="B977" s="17"/>
      <c r="C977" s="17"/>
    </row>
    <row r="978" spans="1:3" ht="13.5" customHeight="1" x14ac:dyDescent="0.35">
      <c r="A978" s="17"/>
      <c r="B978" s="17"/>
      <c r="C978" s="17"/>
    </row>
    <row r="979" spans="1:3" ht="13.5" customHeight="1" x14ac:dyDescent="0.35">
      <c r="A979" s="17"/>
      <c r="B979" s="17"/>
      <c r="C979" s="17"/>
    </row>
    <row r="980" spans="1:3" ht="13.5" customHeight="1" x14ac:dyDescent="0.35">
      <c r="A980" s="17"/>
      <c r="B980" s="17"/>
      <c r="C980" s="17"/>
    </row>
    <row r="981" spans="1:3" ht="13.5" customHeight="1" x14ac:dyDescent="0.35">
      <c r="A981" s="17"/>
      <c r="B981" s="17"/>
      <c r="C981" s="17"/>
    </row>
    <row r="982" spans="1:3" ht="13.5" customHeight="1" x14ac:dyDescent="0.35">
      <c r="A982" s="17"/>
      <c r="B982" s="17"/>
      <c r="C982" s="17"/>
    </row>
    <row r="983" spans="1:3" ht="13.5" customHeight="1" x14ac:dyDescent="0.35">
      <c r="A983" s="17"/>
      <c r="B983" s="17"/>
      <c r="C983" s="17"/>
    </row>
    <row r="984" spans="1:3" ht="13.5" customHeight="1" x14ac:dyDescent="0.35">
      <c r="A984" s="17"/>
      <c r="B984" s="17"/>
      <c r="C984" s="17"/>
    </row>
    <row r="985" spans="1:3" ht="13.5" customHeight="1" x14ac:dyDescent="0.35">
      <c r="A985" s="17"/>
      <c r="B985" s="17"/>
      <c r="C985" s="17"/>
    </row>
    <row r="986" spans="1:3" ht="13.5" customHeight="1" x14ac:dyDescent="0.35">
      <c r="A986" s="17"/>
      <c r="B986" s="17"/>
      <c r="C986" s="17"/>
    </row>
    <row r="987" spans="1:3" ht="13.5" customHeight="1" x14ac:dyDescent="0.35">
      <c r="A987" s="17"/>
      <c r="B987" s="17"/>
      <c r="C987" s="17"/>
    </row>
    <row r="988" spans="1:3" ht="13.5" customHeight="1" x14ac:dyDescent="0.35">
      <c r="A988" s="17"/>
      <c r="B988" s="17"/>
      <c r="C988" s="17"/>
    </row>
    <row r="989" spans="1:3" ht="13.5" customHeight="1" x14ac:dyDescent="0.35">
      <c r="A989" s="17"/>
      <c r="B989" s="17"/>
      <c r="C989" s="17"/>
    </row>
    <row r="990" spans="1:3" ht="13.5" customHeight="1" x14ac:dyDescent="0.35">
      <c r="A990" s="17"/>
      <c r="B990" s="17"/>
      <c r="C990" s="17"/>
    </row>
    <row r="991" spans="1:3" ht="13.5" customHeight="1" x14ac:dyDescent="0.35">
      <c r="A991" s="17"/>
      <c r="B991" s="17"/>
      <c r="C991" s="17"/>
    </row>
    <row r="992" spans="1:3" ht="13.5" customHeight="1" x14ac:dyDescent="0.35">
      <c r="A992" s="17"/>
      <c r="B992" s="17"/>
      <c r="C992" s="17"/>
    </row>
    <row r="993" spans="1:3" ht="13.5" customHeight="1" x14ac:dyDescent="0.35">
      <c r="A993" s="17"/>
      <c r="B993" s="17"/>
      <c r="C993" s="17"/>
    </row>
    <row r="994" spans="1:3" ht="13.5" customHeight="1" x14ac:dyDescent="0.35">
      <c r="A994" s="17"/>
      <c r="B994" s="17"/>
      <c r="C994" s="17"/>
    </row>
    <row r="995" spans="1:3" ht="13.5" customHeight="1" x14ac:dyDescent="0.35">
      <c r="A995" s="17"/>
      <c r="B995" s="17"/>
      <c r="C995" s="17"/>
    </row>
    <row r="996" spans="1:3" ht="13.5" customHeight="1" x14ac:dyDescent="0.35">
      <c r="A996" s="17"/>
      <c r="B996" s="17"/>
      <c r="C996" s="17"/>
    </row>
    <row r="997" spans="1:3" ht="13.5" customHeight="1" x14ac:dyDescent="0.35">
      <c r="A997" s="17"/>
      <c r="B997" s="17"/>
      <c r="C997" s="17"/>
    </row>
    <row r="998" spans="1:3" ht="13.5" customHeight="1" x14ac:dyDescent="0.35">
      <c r="A998" s="17"/>
      <c r="B998" s="17"/>
      <c r="C998" s="17"/>
    </row>
    <row r="999" spans="1:3" ht="13.5" customHeight="1" x14ac:dyDescent="0.35">
      <c r="A999" s="17"/>
      <c r="B999" s="17"/>
      <c r="C999" s="17"/>
    </row>
    <row r="1000" spans="1:3" ht="13.5" customHeight="1" x14ac:dyDescent="0.35">
      <c r="A1000" s="17"/>
      <c r="B1000" s="17"/>
      <c r="C1000" s="17"/>
    </row>
  </sheetData>
  <sheetProtection algorithmName="SHA-512" hashValue="Y+C7COlM5Jzn4cenhQ369qffH/2yjXjyCiyek7lzzDXlFqnvuO7GLflLi0ZP6t3dRAjmukOfd33iFeddk3T2sg==" saltValue="elSkf7xecGpcnBTQQDPaSQ==" spinCount="100000" sheet="1" objects="1" scenarios="1" autoFilter="0"/>
  <mergeCells count="2">
    <mergeCell ref="A1:C2"/>
    <mergeCell ref="A16:C20"/>
  </mergeCells>
  <hyperlinks>
    <hyperlink ref="B5" r:id="rId1" xr:uid="{00000000-0004-0000-0600-000000000000}"/>
    <hyperlink ref="B6" r:id="rId2" xr:uid="{00000000-0004-0000-0600-000001000000}"/>
    <hyperlink ref="B7" r:id="rId3" xr:uid="{00000000-0004-0000-0600-000002000000}"/>
    <hyperlink ref="B8" r:id="rId4" xr:uid="{00000000-0004-0000-0600-000003000000}"/>
    <hyperlink ref="B9" r:id="rId5" xr:uid="{00000000-0004-0000-0600-000004000000}"/>
    <hyperlink ref="B10" r:id="rId6" xr:uid="{00000000-0004-0000-0600-000005000000}"/>
    <hyperlink ref="B11" r:id="rId7" xr:uid="{00000000-0004-0000-0600-000006000000}"/>
    <hyperlink ref="B12" r:id="rId8" xr:uid="{00000000-0004-0000-0600-000007000000}"/>
    <hyperlink ref="B13" r:id="rId9" xr:uid="{00000000-0004-0000-0600-000008000000}"/>
  </hyperlinks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Inicio</vt:lpstr>
      <vt:lpstr>Configuración</vt:lpstr>
      <vt:lpstr>Mi agenda</vt:lpstr>
      <vt:lpstr>Calendario</vt:lpstr>
      <vt:lpstr>Agenda 2026</vt:lpstr>
      <vt:lpstr>Resumen mensual</vt:lpstr>
      <vt:lpstr>Fuentes y alcance</vt:lpstr>
      <vt:lpstr>Calendario!Área_de_impresión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Laura Estefania Santiago</cp:lastModifiedBy>
  <cp:revision>0</cp:revision>
  <dcterms:created xsi:type="dcterms:W3CDTF">2026-08-19T16:28:00Z</dcterms:created>
  <dcterms:modified xsi:type="dcterms:W3CDTF">2026-08-19T18:48:32Z</dcterms:modified>
  <dc:language>en-US</dc:language>
</cp:coreProperties>
</file>